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15.xml" ContentType="application/vnd.openxmlformats-officedocument.drawing+xml"/>
  <Override PartName="/xl/embeddings/oleObject16.bin" ContentType="application/vnd.openxmlformats-officedocument.oleObject"/>
  <Override PartName="/xl/drawings/drawing16.xml" ContentType="application/vnd.openxmlformats-officedocument.drawing+xml"/>
  <Override PartName="/xl/embeddings/oleObject17.bin" ContentType="application/vnd.openxmlformats-officedocument.oleObject"/>
  <Override PartName="/xl/drawings/drawing17.xml" ContentType="application/vnd.openxmlformats-officedocument.drawing+xml"/>
  <Override PartName="/xl/embeddings/oleObject18.bin" ContentType="application/vnd.openxmlformats-officedocument.oleObject"/>
  <Override PartName="/xl/drawings/drawing18.xml" ContentType="application/vnd.openxmlformats-officedocument.drawing+xml"/>
  <Override PartName="/xl/embeddings/oleObject19.bin" ContentType="application/vnd.openxmlformats-officedocument.oleObject"/>
  <Override PartName="/xl/drawings/drawing19.xml" ContentType="application/vnd.openxmlformats-officedocument.drawing+xml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ompendium of Statistics\2023 Compendium\Website\"/>
    </mc:Choice>
  </mc:AlternateContent>
  <xr:revisionPtr revIDLastSave="0" documentId="13_ncr:1_{E03AE9B1-25B7-4917-AD36-829CA918C9A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3.01a" sheetId="27" r:id="rId1"/>
    <sheet name="3.01b" sheetId="31" r:id="rId2"/>
    <sheet name="3.01c" sheetId="36" r:id="rId3"/>
    <sheet name="3.02a" sheetId="30" r:id="rId4"/>
    <sheet name="3.02b" sheetId="29" r:id="rId5"/>
    <sheet name="3.02c" sheetId="37" r:id="rId6"/>
    <sheet name="3.02d" sheetId="44" r:id="rId7"/>
    <sheet name="3.03" sheetId="3" r:id="rId8"/>
    <sheet name="3.04" sheetId="28" r:id="rId9"/>
    <sheet name=".03a" sheetId="5" state="hidden" r:id="rId10"/>
    <sheet name=".03c" sheetId="6" state="hidden" r:id="rId11"/>
    <sheet name="Rec Exp work(.05)" sheetId="19" state="hidden" r:id="rId12"/>
    <sheet name="3.06a" sheetId="22" state="hidden" r:id="rId13"/>
    <sheet name=".04rold" sheetId="7" state="hidden" r:id="rId14"/>
    <sheet name="3.06b" sheetId="8" state="hidden" r:id="rId15"/>
    <sheet name=".05rc" sheetId="10" state="hidden" r:id="rId16"/>
    <sheet name="3.05" sheetId="40" r:id="rId17"/>
    <sheet name="3.06" sheetId="13" r:id="rId18"/>
    <sheet name="3.07" sheetId="26" state="hidden" r:id="rId19"/>
    <sheet name=".08c&amp;d" sheetId="39" state="hidden" r:id="rId20"/>
    <sheet name="3.07a" sheetId="42" r:id="rId21"/>
    <sheet name="3.07b&amp;c" sheetId="43" r:id="rId22"/>
  </sheets>
  <definedNames>
    <definedName name="_xlnm.Print_Area" localSheetId="13">'.04rold'!$A$1:$O$79</definedName>
    <definedName name="_xlnm.Print_Area" localSheetId="15">'.05rc'!$A$1:$Y$55</definedName>
    <definedName name="_xlnm.Print_Area" localSheetId="19">'.08c&amp;d'!$A$1:$X$52</definedName>
    <definedName name="_xlnm.Print_Area" localSheetId="0">'3.01a'!$A$1:$M$65</definedName>
    <definedName name="_xlnm.Print_Area" localSheetId="1">'3.01b'!$A$1:$R$74</definedName>
    <definedName name="_xlnm.Print_Area" localSheetId="2">'3.01c'!$A$1:$M$45</definedName>
    <definedName name="_xlnm.Print_Area" localSheetId="3">'3.02a'!$A$1:$M$53</definedName>
    <definedName name="_xlnm.Print_Area" localSheetId="4">'3.02b'!$A$1:$H$74</definedName>
    <definedName name="_xlnm.Print_Area" localSheetId="5">'3.02c'!$A$1:$L$61</definedName>
    <definedName name="_xlnm.Print_Area" localSheetId="7">'3.03'!$A$1:$J$79</definedName>
    <definedName name="_xlnm.Print_Area" localSheetId="8">'3.04'!$A$1:$Q$64</definedName>
    <definedName name="_xlnm.Print_Area" localSheetId="16">'3.05'!$A$1:$K$64</definedName>
    <definedName name="_xlnm.Print_Area" localSheetId="17">'3.06'!$A$1:$K$48</definedName>
    <definedName name="_xlnm.Print_Area" localSheetId="12">'3.06a'!$A$1:$M$69</definedName>
    <definedName name="_xlnm.Print_Area" localSheetId="14">'3.06b'!$A$2:$Y$64</definedName>
    <definedName name="_xlnm.Print_Area" localSheetId="18">'3.07'!$A$1:$V$39</definedName>
    <definedName name="_xlnm.Print_Area" localSheetId="11">'Rec Exp work(.05)'!$A$2:$Y$72</definedName>
  </definedNames>
  <calcPr calcId="191029" refMode="R1C1"/>
</workbook>
</file>

<file path=xl/calcChain.xml><?xml version="1.0" encoding="utf-8"?>
<calcChain xmlns="http://schemas.openxmlformats.org/spreadsheetml/2006/main">
  <c r="K69" i="3" l="1"/>
  <c r="J69" i="3"/>
  <c r="I69" i="3"/>
  <c r="H69" i="3"/>
  <c r="G69" i="3"/>
  <c r="F69" i="3"/>
  <c r="E69" i="3"/>
  <c r="D69" i="3"/>
  <c r="K63" i="3"/>
  <c r="J63" i="3"/>
  <c r="H63" i="3"/>
  <c r="D63" i="3"/>
  <c r="K60" i="3"/>
  <c r="J60" i="3"/>
  <c r="I60" i="3"/>
  <c r="H60" i="3"/>
  <c r="G60" i="3"/>
  <c r="F60" i="3"/>
  <c r="E60" i="3"/>
  <c r="D60" i="3"/>
  <c r="F52" i="3"/>
  <c r="E52" i="3"/>
  <c r="K51" i="3"/>
  <c r="J51" i="3"/>
  <c r="I51" i="3"/>
  <c r="I52" i="3" s="1"/>
  <c r="H51" i="3"/>
  <c r="H52" i="3" s="1"/>
  <c r="G51" i="3"/>
  <c r="F51" i="3"/>
  <c r="E51" i="3"/>
  <c r="D51" i="3"/>
  <c r="D52" i="3" s="1"/>
  <c r="K49" i="3"/>
  <c r="J49" i="3"/>
  <c r="I49" i="3"/>
  <c r="G49" i="3"/>
  <c r="F49" i="3"/>
  <c r="F50" i="3" s="1"/>
  <c r="D49" i="3"/>
  <c r="K48" i="3"/>
  <c r="K52" i="3" s="1"/>
  <c r="J48" i="3"/>
  <c r="J50" i="3" s="1"/>
  <c r="I48" i="3"/>
  <c r="I50" i="3" s="1"/>
  <c r="H48" i="3"/>
  <c r="G48" i="3"/>
  <c r="G50" i="3" s="1"/>
  <c r="F48" i="3"/>
  <c r="E48" i="3"/>
  <c r="D48" i="3"/>
  <c r="D50" i="3" s="1"/>
  <c r="K36" i="3"/>
  <c r="J36" i="3"/>
  <c r="I36" i="3"/>
  <c r="H36" i="3"/>
  <c r="G36" i="3"/>
  <c r="F36" i="3"/>
  <c r="E36" i="3"/>
  <c r="D36" i="3"/>
  <c r="K34" i="3"/>
  <c r="J34" i="3"/>
  <c r="I34" i="3"/>
  <c r="H34" i="3"/>
  <c r="G34" i="3"/>
  <c r="F34" i="3"/>
  <c r="E34" i="3"/>
  <c r="D34" i="3"/>
  <c r="K28" i="3"/>
  <c r="J28" i="3"/>
  <c r="I28" i="3"/>
  <c r="H28" i="3"/>
  <c r="G28" i="3"/>
  <c r="F28" i="3"/>
  <c r="E28" i="3"/>
  <c r="D28" i="3"/>
  <c r="K26" i="3"/>
  <c r="J26" i="3"/>
  <c r="I26" i="3"/>
  <c r="H26" i="3"/>
  <c r="G26" i="3"/>
  <c r="F26" i="3"/>
  <c r="E26" i="3"/>
  <c r="D26" i="3"/>
  <c r="K21" i="3"/>
  <c r="J21" i="3"/>
  <c r="I21" i="3"/>
  <c r="H21" i="3"/>
  <c r="G21" i="3"/>
  <c r="F21" i="3"/>
  <c r="E21" i="3"/>
  <c r="K19" i="3"/>
  <c r="J19" i="3"/>
  <c r="I19" i="3"/>
  <c r="H19" i="3"/>
  <c r="G19" i="3"/>
  <c r="F19" i="3"/>
  <c r="E19" i="3"/>
  <c r="D19" i="3"/>
  <c r="K53" i="44"/>
  <c r="J53" i="44"/>
  <c r="I53" i="44"/>
  <c r="I24" i="44" s="1"/>
  <c r="H53" i="44"/>
  <c r="H24" i="44" s="1"/>
  <c r="G53" i="44"/>
  <c r="G24" i="44" s="1"/>
  <c r="F53" i="44"/>
  <c r="E53" i="44"/>
  <c r="L53" i="44" s="1"/>
  <c r="L24" i="44" s="1"/>
  <c r="L52" i="44"/>
  <c r="L51" i="44"/>
  <c r="L50" i="44"/>
  <c r="L49" i="44"/>
  <c r="L20" i="44" s="1"/>
  <c r="L48" i="44"/>
  <c r="L47" i="44"/>
  <c r="L18" i="44" s="1"/>
  <c r="L46" i="44"/>
  <c r="L45" i="44"/>
  <c r="L44" i="44"/>
  <c r="L43" i="44"/>
  <c r="L42" i="44"/>
  <c r="K39" i="44"/>
  <c r="K24" i="44" s="1"/>
  <c r="J39" i="44"/>
  <c r="J24" i="44" s="1"/>
  <c r="I39" i="44"/>
  <c r="H39" i="44"/>
  <c r="G39" i="44"/>
  <c r="F39" i="44"/>
  <c r="L39" i="44" s="1"/>
  <c r="E39" i="44"/>
  <c r="L38" i="44"/>
  <c r="L37" i="44"/>
  <c r="L36" i="44"/>
  <c r="L35" i="44"/>
  <c r="L34" i="44"/>
  <c r="L19" i="44" s="1"/>
  <c r="L33" i="44"/>
  <c r="L32" i="44"/>
  <c r="L31" i="44"/>
  <c r="L30" i="44"/>
  <c r="L15" i="44" s="1"/>
  <c r="L29" i="44"/>
  <c r="L28" i="44"/>
  <c r="F24" i="44"/>
  <c r="E24" i="44"/>
  <c r="L21" i="44"/>
  <c r="K21" i="44"/>
  <c r="J21" i="44"/>
  <c r="K20" i="44"/>
  <c r="J20" i="44"/>
  <c r="I20" i="44"/>
  <c r="K19" i="44"/>
  <c r="J19" i="44"/>
  <c r="I19" i="44"/>
  <c r="H19" i="44"/>
  <c r="J18" i="44"/>
  <c r="I18" i="44"/>
  <c r="H18" i="44"/>
  <c r="G18" i="44"/>
  <c r="L17" i="44"/>
  <c r="I17" i="44"/>
  <c r="H17" i="44"/>
  <c r="G17" i="44"/>
  <c r="F17" i="44"/>
  <c r="H16" i="44"/>
  <c r="G16" i="44"/>
  <c r="F16" i="44"/>
  <c r="E16" i="44"/>
  <c r="G15" i="44"/>
  <c r="F15" i="44"/>
  <c r="E15" i="44"/>
  <c r="L14" i="44"/>
  <c r="F14" i="44"/>
  <c r="E14" i="44"/>
  <c r="L13" i="44"/>
  <c r="E13" i="44"/>
  <c r="J54" i="37"/>
  <c r="I54" i="37"/>
  <c r="H54" i="37"/>
  <c r="G54" i="37"/>
  <c r="F54" i="37"/>
  <c r="E54" i="37"/>
  <c r="D54" i="37"/>
  <c r="K51" i="37"/>
  <c r="K50" i="37"/>
  <c r="K49" i="37"/>
  <c r="K48" i="37"/>
  <c r="K47" i="37"/>
  <c r="K17" i="37" s="1"/>
  <c r="K46" i="37"/>
  <c r="K45" i="37"/>
  <c r="K44" i="37"/>
  <c r="K14" i="37" s="1"/>
  <c r="K43" i="37"/>
  <c r="K54" i="37" s="1"/>
  <c r="J39" i="37"/>
  <c r="I39" i="37"/>
  <c r="H39" i="37"/>
  <c r="G39" i="37"/>
  <c r="F39" i="37"/>
  <c r="F24" i="37" s="1"/>
  <c r="E39" i="37"/>
  <c r="E24" i="37" s="1"/>
  <c r="D39" i="37"/>
  <c r="K36" i="37"/>
  <c r="K21" i="37" s="1"/>
  <c r="K35" i="37"/>
  <c r="K34" i="37"/>
  <c r="K33" i="37"/>
  <c r="K32" i="37"/>
  <c r="K31" i="37"/>
  <c r="K16" i="37" s="1"/>
  <c r="K30" i="37"/>
  <c r="K39" i="37" s="1"/>
  <c r="K29" i="37"/>
  <c r="K28" i="37"/>
  <c r="K13" i="37" s="1"/>
  <c r="J24" i="37"/>
  <c r="I24" i="37"/>
  <c r="G24" i="37"/>
  <c r="J21" i="37"/>
  <c r="I21" i="37"/>
  <c r="K20" i="37"/>
  <c r="J20" i="37"/>
  <c r="I20" i="37"/>
  <c r="H20" i="37"/>
  <c r="K19" i="37"/>
  <c r="J19" i="37"/>
  <c r="I19" i="37"/>
  <c r="H19" i="37"/>
  <c r="G19" i="37"/>
  <c r="K18" i="37"/>
  <c r="J18" i="37"/>
  <c r="I18" i="37"/>
  <c r="H18" i="37"/>
  <c r="G18" i="37"/>
  <c r="F18" i="37"/>
  <c r="E18" i="37"/>
  <c r="H17" i="37"/>
  <c r="H24" i="37" s="1"/>
  <c r="G17" i="37"/>
  <c r="F17" i="37"/>
  <c r="E17" i="37"/>
  <c r="G16" i="37"/>
  <c r="F16" i="37"/>
  <c r="E16" i="37"/>
  <c r="F15" i="37"/>
  <c r="E15" i="37"/>
  <c r="D15" i="37"/>
  <c r="E14" i="37"/>
  <c r="D14" i="37"/>
  <c r="D13" i="37"/>
  <c r="D24" i="37" s="1"/>
  <c r="F68" i="29"/>
  <c r="F67" i="29"/>
  <c r="F66" i="29"/>
  <c r="F65" i="29"/>
  <c r="F63" i="29"/>
  <c r="F62" i="29"/>
  <c r="E62" i="29"/>
  <c r="D62" i="29"/>
  <c r="F60" i="29"/>
  <c r="F59" i="29"/>
  <c r="F58" i="29"/>
  <c r="F57" i="29"/>
  <c r="F55" i="29"/>
  <c r="F54" i="29"/>
  <c r="E54" i="29"/>
  <c r="D54" i="29"/>
  <c r="F52" i="29"/>
  <c r="F51" i="29"/>
  <c r="F50" i="29"/>
  <c r="F46" i="29" s="1"/>
  <c r="F49" i="29"/>
  <c r="F47" i="29"/>
  <c r="E46" i="29"/>
  <c r="D46" i="29"/>
  <c r="F44" i="29"/>
  <c r="F43" i="29"/>
  <c r="F42" i="29"/>
  <c r="F41" i="29"/>
  <c r="F39" i="29"/>
  <c r="F38" i="29"/>
  <c r="E38" i="29"/>
  <c r="D38" i="29"/>
  <c r="F36" i="29"/>
  <c r="F35" i="29"/>
  <c r="F34" i="29"/>
  <c r="F30" i="29" s="1"/>
  <c r="F33" i="29"/>
  <c r="F32" i="29"/>
  <c r="F31" i="29"/>
  <c r="E30" i="29"/>
  <c r="D30" i="29"/>
  <c r="F27" i="29"/>
  <c r="F19" i="29" s="1"/>
  <c r="F26" i="29"/>
  <c r="F18" i="29" s="1"/>
  <c r="F25" i="29"/>
  <c r="F17" i="29" s="1"/>
  <c r="F24" i="29"/>
  <c r="F23" i="29"/>
  <c r="F15" i="29" s="1"/>
  <c r="F22" i="29"/>
  <c r="E22" i="29"/>
  <c r="D22" i="29"/>
  <c r="E19" i="29"/>
  <c r="D19" i="29"/>
  <c r="E18" i="29"/>
  <c r="E14" i="29" s="1"/>
  <c r="D18" i="29"/>
  <c r="E17" i="29"/>
  <c r="D17" i="29"/>
  <c r="F16" i="29"/>
  <c r="E16" i="29"/>
  <c r="D16" i="29"/>
  <c r="E15" i="29"/>
  <c r="D15" i="29"/>
  <c r="D14" i="29"/>
  <c r="I59" i="30"/>
  <c r="I58" i="30"/>
  <c r="H57" i="30"/>
  <c r="G57" i="30"/>
  <c r="J56" i="30"/>
  <c r="I56" i="30"/>
  <c r="I55" i="30"/>
  <c r="I54" i="30"/>
  <c r="I52" i="30"/>
  <c r="I51" i="30"/>
  <c r="H50" i="30"/>
  <c r="G50" i="30"/>
  <c r="J49" i="30"/>
  <c r="I49" i="30"/>
  <c r="I48" i="30"/>
  <c r="I47" i="30"/>
  <c r="I43" i="30"/>
  <c r="I42" i="30"/>
  <c r="I41" i="30"/>
  <c r="H41" i="30"/>
  <c r="G41" i="30"/>
  <c r="J40" i="30"/>
  <c r="I40" i="30"/>
  <c r="I39" i="30"/>
  <c r="I38" i="30"/>
  <c r="I36" i="30"/>
  <c r="I35" i="30"/>
  <c r="J34" i="30"/>
  <c r="H34" i="30"/>
  <c r="G34" i="30"/>
  <c r="I33" i="30"/>
  <c r="I32" i="30"/>
  <c r="H31" i="30"/>
  <c r="G31" i="30"/>
  <c r="I30" i="30"/>
  <c r="I31" i="30" s="1"/>
  <c r="I29" i="30"/>
  <c r="J28" i="30"/>
  <c r="H28" i="30"/>
  <c r="G28" i="30"/>
  <c r="I27" i="30"/>
  <c r="I26" i="30"/>
  <c r="I28" i="30" s="1"/>
  <c r="H25" i="30"/>
  <c r="G25" i="30"/>
  <c r="I24" i="30"/>
  <c r="I23" i="30"/>
  <c r="I25" i="30" s="1"/>
  <c r="J22" i="30"/>
  <c r="H22" i="30"/>
  <c r="G22" i="30"/>
  <c r="I21" i="30"/>
  <c r="I20" i="30"/>
  <c r="I22" i="30" s="1"/>
  <c r="H19" i="30"/>
  <c r="G19" i="30"/>
  <c r="I18" i="30"/>
  <c r="I17" i="30"/>
  <c r="H16" i="30"/>
  <c r="G16" i="30"/>
  <c r="I15" i="30"/>
  <c r="I14" i="30"/>
  <c r="F38" i="36"/>
  <c r="G38" i="36" s="1"/>
  <c r="E38" i="36"/>
  <c r="D38" i="36"/>
  <c r="G37" i="36"/>
  <c r="G36" i="36"/>
  <c r="G35" i="36"/>
  <c r="G34" i="36"/>
  <c r="G33" i="36"/>
  <c r="G32" i="36"/>
  <c r="F28" i="36"/>
  <c r="E28" i="36"/>
  <c r="D28" i="36"/>
  <c r="G28" i="36" s="1"/>
  <c r="G27" i="36"/>
  <c r="G26" i="36"/>
  <c r="G25" i="36"/>
  <c r="G24" i="36"/>
  <c r="G23" i="36"/>
  <c r="G22" i="36"/>
  <c r="F17" i="36"/>
  <c r="G17" i="36" s="1"/>
  <c r="E17" i="36"/>
  <c r="D17" i="36"/>
  <c r="F16" i="36"/>
  <c r="E16" i="36"/>
  <c r="D16" i="36"/>
  <c r="G16" i="36" s="1"/>
  <c r="F15" i="36"/>
  <c r="G15" i="36" s="1"/>
  <c r="E15" i="36"/>
  <c r="D15" i="36"/>
  <c r="F14" i="36"/>
  <c r="E14" i="36"/>
  <c r="G14" i="36" s="1"/>
  <c r="D14" i="36"/>
  <c r="F13" i="36"/>
  <c r="G13" i="36" s="1"/>
  <c r="E13" i="36"/>
  <c r="D13" i="36"/>
  <c r="F12" i="36"/>
  <c r="F18" i="36" s="1"/>
  <c r="E12" i="36"/>
  <c r="E18" i="36" s="1"/>
  <c r="D12" i="36"/>
  <c r="D18" i="36" s="1"/>
  <c r="G18" i="36" s="1"/>
  <c r="M62" i="31"/>
  <c r="L62" i="31"/>
  <c r="K62" i="31"/>
  <c r="J62" i="31"/>
  <c r="I62" i="31"/>
  <c r="H62" i="31"/>
  <c r="G62" i="31"/>
  <c r="F62" i="31"/>
  <c r="E62" i="31"/>
  <c r="D62" i="31"/>
  <c r="M54" i="31"/>
  <c r="L54" i="31"/>
  <c r="K54" i="31"/>
  <c r="J54" i="31"/>
  <c r="I54" i="31"/>
  <c r="H54" i="31"/>
  <c r="G54" i="31"/>
  <c r="F54" i="31"/>
  <c r="E54" i="31"/>
  <c r="D54" i="31"/>
  <c r="M46" i="31"/>
  <c r="L46" i="31"/>
  <c r="K46" i="31"/>
  <c r="K14" i="31" s="1"/>
  <c r="J46" i="31"/>
  <c r="I46" i="31"/>
  <c r="H46" i="31"/>
  <c r="G46" i="31"/>
  <c r="F46" i="31"/>
  <c r="E46" i="31"/>
  <c r="D46" i="31"/>
  <c r="M38" i="31"/>
  <c r="L38" i="31"/>
  <c r="K38" i="31"/>
  <c r="J38" i="31"/>
  <c r="I38" i="31"/>
  <c r="H38" i="31"/>
  <c r="G38" i="31"/>
  <c r="F38" i="31"/>
  <c r="E38" i="31"/>
  <c r="E14" i="31" s="1"/>
  <c r="D38" i="31"/>
  <c r="M30" i="31"/>
  <c r="L30" i="31"/>
  <c r="K30" i="31"/>
  <c r="J30" i="31"/>
  <c r="I30" i="31"/>
  <c r="H30" i="31"/>
  <c r="G30" i="31"/>
  <c r="F30" i="31"/>
  <c r="E30" i="31"/>
  <c r="D30" i="31"/>
  <c r="M22" i="31"/>
  <c r="L22" i="31"/>
  <c r="K22" i="31"/>
  <c r="J22" i="31"/>
  <c r="I22" i="31"/>
  <c r="I14" i="31" s="1"/>
  <c r="H22" i="31"/>
  <c r="F22" i="31"/>
  <c r="E22" i="31"/>
  <c r="D22" i="31"/>
  <c r="M20" i="31"/>
  <c r="J20" i="31"/>
  <c r="I20" i="31"/>
  <c r="H20" i="31"/>
  <c r="G20" i="31"/>
  <c r="F20" i="31"/>
  <c r="E20" i="31"/>
  <c r="D20" i="31"/>
  <c r="M19" i="31"/>
  <c r="L19" i="31"/>
  <c r="K19" i="31"/>
  <c r="J19" i="31"/>
  <c r="I19" i="31"/>
  <c r="H19" i="31"/>
  <c r="G19" i="31"/>
  <c r="F19" i="31"/>
  <c r="E19" i="31"/>
  <c r="D19" i="31"/>
  <c r="M18" i="31"/>
  <c r="L18" i="31"/>
  <c r="K18" i="31"/>
  <c r="J18" i="31"/>
  <c r="I18" i="31"/>
  <c r="H18" i="31"/>
  <c r="G18" i="31"/>
  <c r="F18" i="31"/>
  <c r="E18" i="31"/>
  <c r="D18" i="31"/>
  <c r="M17" i="31"/>
  <c r="L17" i="31"/>
  <c r="J17" i="31"/>
  <c r="I17" i="31"/>
  <c r="H17" i="31"/>
  <c r="E17" i="31"/>
  <c r="M16" i="31"/>
  <c r="L16" i="31"/>
  <c r="K16" i="31"/>
  <c r="J16" i="31"/>
  <c r="I16" i="31"/>
  <c r="H16" i="31"/>
  <c r="G16" i="31"/>
  <c r="F16" i="31"/>
  <c r="E16" i="31"/>
  <c r="D16" i="31"/>
  <c r="M15" i="31"/>
  <c r="L15" i="31"/>
  <c r="K15" i="31"/>
  <c r="J15" i="31"/>
  <c r="I15" i="31"/>
  <c r="H15" i="31"/>
  <c r="G15" i="31"/>
  <c r="F15" i="31"/>
  <c r="E15" i="31"/>
  <c r="D15" i="31"/>
  <c r="M14" i="31"/>
  <c r="L14" i="31"/>
  <c r="J14" i="31"/>
  <c r="H14" i="31"/>
  <c r="F14" i="31"/>
  <c r="D14" i="31"/>
  <c r="N45" i="27"/>
  <c r="M45" i="27"/>
  <c r="L45" i="27"/>
  <c r="K45" i="27"/>
  <c r="J45" i="27"/>
  <c r="I45" i="27"/>
  <c r="H45" i="27"/>
  <c r="G45" i="27"/>
  <c r="F45" i="27"/>
  <c r="E45" i="27"/>
  <c r="N39" i="27"/>
  <c r="H39" i="27"/>
  <c r="F39" i="27"/>
  <c r="E39" i="27"/>
  <c r="K34" i="27"/>
  <c r="H34" i="27"/>
  <c r="H29" i="27" s="1"/>
  <c r="N29" i="27"/>
  <c r="M29" i="27"/>
  <c r="L29" i="27"/>
  <c r="K29" i="27"/>
  <c r="J29" i="27"/>
  <c r="I29" i="27"/>
  <c r="G29" i="27"/>
  <c r="F29" i="27"/>
  <c r="E29" i="27"/>
  <c r="N20" i="27"/>
  <c r="M20" i="27"/>
  <c r="L20" i="27"/>
  <c r="K20" i="27"/>
  <c r="J20" i="27"/>
  <c r="I20" i="27"/>
  <c r="H20" i="27"/>
  <c r="G20" i="27"/>
  <c r="F20" i="27"/>
  <c r="E20" i="27"/>
  <c r="N14" i="27"/>
  <c r="M14" i="27"/>
  <c r="L14" i="27"/>
  <c r="K14" i="27"/>
  <c r="J14" i="27"/>
  <c r="I14" i="27"/>
  <c r="H14" i="27"/>
  <c r="G14" i="27"/>
  <c r="E14" i="27"/>
  <c r="I16" i="30" l="1"/>
  <c r="I50" i="30"/>
  <c r="I34" i="30"/>
  <c r="I57" i="30"/>
  <c r="I19" i="30"/>
  <c r="G52" i="3"/>
  <c r="J52" i="3"/>
  <c r="K15" i="37"/>
  <c r="K24" i="37" s="1"/>
  <c r="F14" i="29"/>
  <c r="G12" i="36"/>
  <c r="G37" i="43" l="1"/>
  <c r="E37" i="43"/>
  <c r="D37" i="43"/>
  <c r="I24" i="43"/>
  <c r="H24" i="43"/>
  <c r="G24" i="43"/>
  <c r="F24" i="43"/>
  <c r="E24" i="43"/>
  <c r="D24" i="43"/>
  <c r="J24" i="43" s="1"/>
  <c r="J23" i="43"/>
  <c r="J22" i="43"/>
  <c r="J21" i="43"/>
  <c r="J20" i="43"/>
  <c r="J17" i="43"/>
  <c r="J16" i="43"/>
  <c r="J15" i="43"/>
  <c r="J14" i="43"/>
  <c r="J12" i="43"/>
  <c r="J11" i="43"/>
  <c r="J10" i="43"/>
  <c r="O13" i="42"/>
  <c r="N13" i="42"/>
  <c r="M13" i="42"/>
  <c r="K13" i="42"/>
  <c r="J13" i="42"/>
  <c r="I13" i="42"/>
  <c r="G13" i="42"/>
  <c r="F13" i="42"/>
  <c r="E13" i="42"/>
  <c r="J23" i="40" l="1"/>
  <c r="E45" i="39" l="1"/>
  <c r="H24" i="39"/>
  <c r="G24" i="39"/>
  <c r="F24" i="39"/>
  <c r="E24" i="39"/>
  <c r="D24" i="39"/>
  <c r="J24" i="39" s="1"/>
  <c r="I23" i="39"/>
  <c r="H23" i="39"/>
  <c r="G23" i="39"/>
  <c r="F23" i="39"/>
  <c r="E23" i="39"/>
  <c r="D23" i="39"/>
  <c r="I22" i="39"/>
  <c r="H22" i="39"/>
  <c r="G22" i="39"/>
  <c r="F22" i="39"/>
  <c r="E22" i="39"/>
  <c r="D22" i="39"/>
  <c r="I21" i="39"/>
  <c r="H21" i="39"/>
  <c r="F21" i="39"/>
  <c r="E21" i="39"/>
  <c r="D21" i="39"/>
  <c r="J21" i="39" s="1"/>
  <c r="I18" i="39"/>
  <c r="H18" i="39"/>
  <c r="G18" i="39"/>
  <c r="F18" i="39"/>
  <c r="E18" i="39"/>
  <c r="D18" i="39"/>
  <c r="I17" i="39"/>
  <c r="H17" i="39"/>
  <c r="G17" i="39"/>
  <c r="F17" i="39"/>
  <c r="E17" i="39"/>
  <c r="D17" i="39"/>
  <c r="I16" i="39"/>
  <c r="H16" i="39"/>
  <c r="G16" i="39"/>
  <c r="F16" i="39"/>
  <c r="E16" i="39"/>
  <c r="D16" i="39"/>
  <c r="I15" i="39"/>
  <c r="H15" i="39"/>
  <c r="G15" i="39"/>
  <c r="F15" i="39"/>
  <c r="E15" i="39"/>
  <c r="D15" i="39"/>
  <c r="I14" i="39"/>
  <c r="E14" i="39"/>
  <c r="D14" i="39"/>
  <c r="I13" i="39"/>
  <c r="H13" i="39"/>
  <c r="G13" i="39"/>
  <c r="F13" i="39"/>
  <c r="E13" i="39"/>
  <c r="J13" i="39" s="1"/>
  <c r="D13" i="39"/>
  <c r="I12" i="39"/>
  <c r="H12" i="39"/>
  <c r="G12" i="39"/>
  <c r="F12" i="39"/>
  <c r="E12" i="39"/>
  <c r="D12" i="39"/>
  <c r="I11" i="39"/>
  <c r="H11" i="39"/>
  <c r="G11" i="39"/>
  <c r="F11" i="39"/>
  <c r="E11" i="39"/>
  <c r="D11" i="39"/>
  <c r="G45" i="39"/>
  <c r="D45" i="39"/>
  <c r="L22" i="22"/>
  <c r="W50" i="19"/>
  <c r="X41" i="19"/>
  <c r="W41" i="19"/>
  <c r="W30" i="19"/>
  <c r="W28" i="19"/>
  <c r="W16" i="19"/>
  <c r="W14" i="19"/>
  <c r="K45" i="22"/>
  <c r="K37" i="22"/>
  <c r="K22" i="22"/>
  <c r="K17" i="22"/>
  <c r="K13" i="22"/>
  <c r="W49" i="8"/>
  <c r="W13" i="8"/>
  <c r="M14" i="26"/>
  <c r="L14" i="26"/>
  <c r="J14" i="26"/>
  <c r="X30" i="19"/>
  <c r="X28" i="19"/>
  <c r="I14" i="26"/>
  <c r="G14" i="26"/>
  <c r="V43" i="19"/>
  <c r="L45" i="22"/>
  <c r="J45" i="22"/>
  <c r="J22" i="22"/>
  <c r="F14" i="26"/>
  <c r="A1" i="10"/>
  <c r="O12" i="10"/>
  <c r="P12" i="10"/>
  <c r="Q12" i="10"/>
  <c r="R12" i="10"/>
  <c r="S12" i="10"/>
  <c r="O17" i="10"/>
  <c r="P17" i="10"/>
  <c r="Q17" i="10"/>
  <c r="R17" i="10"/>
  <c r="S17" i="10"/>
  <c r="O19" i="10"/>
  <c r="P19" i="10"/>
  <c r="Q19" i="10"/>
  <c r="R19" i="10"/>
  <c r="S19" i="10"/>
  <c r="O24" i="10"/>
  <c r="P24" i="10"/>
  <c r="Q24" i="10"/>
  <c r="R24" i="10"/>
  <c r="S24" i="10"/>
  <c r="O26" i="10"/>
  <c r="P26" i="10"/>
  <c r="Q26" i="10"/>
  <c r="R26" i="10"/>
  <c r="S26" i="10"/>
  <c r="O31" i="10"/>
  <c r="P31" i="10"/>
  <c r="Q31" i="10"/>
  <c r="R31" i="10"/>
  <c r="S31" i="10"/>
  <c r="O35" i="10"/>
  <c r="P35" i="10"/>
  <c r="Q35" i="10"/>
  <c r="R35" i="10"/>
  <c r="S35" i="10"/>
  <c r="T35" i="10"/>
  <c r="A54" i="10"/>
  <c r="D11" i="8"/>
  <c r="E11" i="8" s="1"/>
  <c r="F11" i="8" s="1"/>
  <c r="G11" i="8" s="1"/>
  <c r="H11" i="8" s="1"/>
  <c r="I11" i="8" s="1"/>
  <c r="J11" i="8" s="1"/>
  <c r="K11" i="8" s="1"/>
  <c r="C13" i="8"/>
  <c r="D13" i="8"/>
  <c r="E13" i="8"/>
  <c r="F13" i="8"/>
  <c r="G13" i="8"/>
  <c r="H13" i="8"/>
  <c r="J13" i="8"/>
  <c r="K13" i="8"/>
  <c r="L13" i="8"/>
  <c r="M13" i="8"/>
  <c r="N13" i="8"/>
  <c r="O13" i="8"/>
  <c r="P13" i="8"/>
  <c r="Q13" i="8"/>
  <c r="R13" i="8"/>
  <c r="T13" i="8"/>
  <c r="U13" i="8"/>
  <c r="V13" i="8"/>
  <c r="C30" i="8"/>
  <c r="D30" i="8"/>
  <c r="E30" i="8"/>
  <c r="F30" i="8"/>
  <c r="G30" i="8"/>
  <c r="H30" i="8"/>
  <c r="L30" i="8"/>
  <c r="M30" i="8"/>
  <c r="N30" i="8"/>
  <c r="O30" i="8"/>
  <c r="P30" i="8"/>
  <c r="R30" i="8"/>
  <c r="T30" i="8"/>
  <c r="U30" i="8"/>
  <c r="V30" i="8"/>
  <c r="U36" i="8"/>
  <c r="V36" i="8"/>
  <c r="U40" i="8"/>
  <c r="V40" i="8"/>
  <c r="J49" i="8"/>
  <c r="K49" i="8"/>
  <c r="L49" i="8"/>
  <c r="M49" i="8"/>
  <c r="N49" i="8"/>
  <c r="O49" i="8"/>
  <c r="P49" i="8"/>
  <c r="Q49" i="8"/>
  <c r="R49" i="8"/>
  <c r="T49" i="8"/>
  <c r="U49" i="8"/>
  <c r="V49" i="8"/>
  <c r="E30" i="7"/>
  <c r="F30" i="7"/>
  <c r="G30" i="7"/>
  <c r="H30" i="7"/>
  <c r="I30" i="7"/>
  <c r="E33" i="7"/>
  <c r="H33" i="7"/>
  <c r="I33" i="7"/>
  <c r="J33" i="7"/>
  <c r="K33" i="7"/>
  <c r="L33" i="7"/>
  <c r="M33" i="7"/>
  <c r="N33" i="7"/>
  <c r="O33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C13" i="22"/>
  <c r="D13" i="22"/>
  <c r="O49" i="22" s="1"/>
  <c r="E13" i="22"/>
  <c r="F13" i="22"/>
  <c r="G13" i="22"/>
  <c r="H13" i="22"/>
  <c r="R49" i="22" s="1"/>
  <c r="R50" i="22" s="1"/>
  <c r="J13" i="22"/>
  <c r="L13" i="22"/>
  <c r="C17" i="22"/>
  <c r="D17" i="22"/>
  <c r="E17" i="22"/>
  <c r="F17" i="22"/>
  <c r="G17" i="22"/>
  <c r="H17" i="22"/>
  <c r="J17" i="22"/>
  <c r="L17" i="22"/>
  <c r="C22" i="22"/>
  <c r="N49" i="22" s="1"/>
  <c r="D22" i="22"/>
  <c r="E22" i="22"/>
  <c r="F22" i="22"/>
  <c r="G22" i="22"/>
  <c r="H22" i="22"/>
  <c r="C37" i="22"/>
  <c r="D37" i="22"/>
  <c r="E37" i="22"/>
  <c r="F37" i="22"/>
  <c r="G37" i="22"/>
  <c r="H37" i="22"/>
  <c r="J37" i="22"/>
  <c r="L37" i="22"/>
  <c r="H45" i="22"/>
  <c r="I11" i="19"/>
  <c r="J11" i="19"/>
  <c r="K11" i="19" s="1"/>
  <c r="L11" i="19" s="1"/>
  <c r="I14" i="19"/>
  <c r="I79" i="19" s="1"/>
  <c r="I85" i="19" s="1"/>
  <c r="J14" i="19"/>
  <c r="K14" i="19"/>
  <c r="K79" i="19" s="1"/>
  <c r="L14" i="19"/>
  <c r="L79" i="19" s="1"/>
  <c r="H15" i="19"/>
  <c r="N15" i="19"/>
  <c r="O15" i="19"/>
  <c r="Q15" i="19"/>
  <c r="R15" i="19"/>
  <c r="S15" i="19"/>
  <c r="T15" i="19"/>
  <c r="AC15" i="19"/>
  <c r="F16" i="19"/>
  <c r="F14" i="19" s="1"/>
  <c r="F79" i="19" s="1"/>
  <c r="G16" i="19"/>
  <c r="G14" i="19" s="1"/>
  <c r="G79" i="19" s="1"/>
  <c r="X16" i="19"/>
  <c r="X14" i="19" s="1"/>
  <c r="D17" i="19"/>
  <c r="D16" i="19"/>
  <c r="D14" i="19" s="1"/>
  <c r="D79" i="19" s="1"/>
  <c r="E17" i="19"/>
  <c r="E16" i="19" s="1"/>
  <c r="E14" i="19" s="1"/>
  <c r="H17" i="19"/>
  <c r="H16" i="19" s="1"/>
  <c r="H14" i="19" s="1"/>
  <c r="H79" i="19" s="1"/>
  <c r="S17" i="19"/>
  <c r="T17" i="19"/>
  <c r="U17" i="19"/>
  <c r="V17" i="19"/>
  <c r="H18" i="19"/>
  <c r="M18" i="19"/>
  <c r="N18" i="19"/>
  <c r="O18" i="19"/>
  <c r="P18" i="19"/>
  <c r="R18" i="19"/>
  <c r="R16" i="19" s="1"/>
  <c r="S18" i="19"/>
  <c r="T18" i="19"/>
  <c r="U18" i="19"/>
  <c r="V18" i="19"/>
  <c r="N19" i="19"/>
  <c r="O19" i="19"/>
  <c r="P19" i="19"/>
  <c r="S19" i="19"/>
  <c r="T19" i="19"/>
  <c r="U19" i="19"/>
  <c r="V19" i="19"/>
  <c r="N23" i="19"/>
  <c r="O23" i="19"/>
  <c r="P23" i="19"/>
  <c r="Q23" i="19"/>
  <c r="Q16" i="19" s="1"/>
  <c r="R23" i="19"/>
  <c r="S23" i="19"/>
  <c r="T23" i="19"/>
  <c r="U23" i="19"/>
  <c r="V23" i="19"/>
  <c r="M24" i="19"/>
  <c r="N24" i="19"/>
  <c r="O24" i="19"/>
  <c r="S24" i="19"/>
  <c r="T24" i="19"/>
  <c r="U24" i="19"/>
  <c r="M25" i="19"/>
  <c r="N25" i="19"/>
  <c r="O25" i="19"/>
  <c r="P25" i="19"/>
  <c r="S25" i="19"/>
  <c r="U25" i="19"/>
  <c r="V25" i="19"/>
  <c r="N26" i="19"/>
  <c r="O26" i="19"/>
  <c r="P26" i="19"/>
  <c r="Q26" i="19"/>
  <c r="R26" i="19"/>
  <c r="S26" i="19"/>
  <c r="T26" i="19"/>
  <c r="U26" i="19"/>
  <c r="V26" i="19"/>
  <c r="D29" i="19"/>
  <c r="D28" i="19" s="1"/>
  <c r="D81" i="19" s="1"/>
  <c r="E29" i="19"/>
  <c r="F29" i="19"/>
  <c r="G29" i="19"/>
  <c r="H29" i="19"/>
  <c r="I29" i="19"/>
  <c r="J29" i="19"/>
  <c r="K29" i="19"/>
  <c r="M29" i="19"/>
  <c r="N29" i="19"/>
  <c r="O29" i="19"/>
  <c r="O28" i="19" s="1"/>
  <c r="O81" i="19" s="1"/>
  <c r="Q29" i="19"/>
  <c r="Q28" i="19" s="1"/>
  <c r="R29" i="19"/>
  <c r="R28" i="19" s="1"/>
  <c r="S29" i="19"/>
  <c r="T29" i="19"/>
  <c r="D30" i="19"/>
  <c r="E30" i="19"/>
  <c r="E28" i="19"/>
  <c r="E81" i="19" s="1"/>
  <c r="I30" i="19"/>
  <c r="J30" i="19"/>
  <c r="K30" i="19"/>
  <c r="L30" i="19"/>
  <c r="L28" i="19" s="1"/>
  <c r="L81" i="19" s="1"/>
  <c r="G31" i="19"/>
  <c r="G30" i="19" s="1"/>
  <c r="H31" i="19"/>
  <c r="S31" i="19"/>
  <c r="T31" i="19"/>
  <c r="T30" i="19" s="1"/>
  <c r="T28" i="19" s="1"/>
  <c r="U31" i="19"/>
  <c r="V31" i="19"/>
  <c r="G32" i="19"/>
  <c r="H32" i="19"/>
  <c r="M32" i="19"/>
  <c r="M30" i="19" s="1"/>
  <c r="M28" i="19" s="1"/>
  <c r="M81" i="19" s="1"/>
  <c r="N32" i="19"/>
  <c r="O32" i="19"/>
  <c r="P32" i="19"/>
  <c r="P30" i="19" s="1"/>
  <c r="P28" i="19" s="1"/>
  <c r="R32" i="19"/>
  <c r="S32" i="19"/>
  <c r="T32" i="19"/>
  <c r="U32" i="19"/>
  <c r="V32" i="19"/>
  <c r="M33" i="19"/>
  <c r="N33" i="19"/>
  <c r="O33" i="19"/>
  <c r="P33" i="19"/>
  <c r="S33" i="19"/>
  <c r="T33" i="19"/>
  <c r="V33" i="19"/>
  <c r="V30" i="19" s="1"/>
  <c r="V28" i="19" s="1"/>
  <c r="U33" i="19"/>
  <c r="F30" i="19"/>
  <c r="D39" i="19"/>
  <c r="D83" i="19" s="1"/>
  <c r="E39" i="19"/>
  <c r="F39" i="19"/>
  <c r="G39" i="19"/>
  <c r="H39" i="19"/>
  <c r="M39" i="19"/>
  <c r="N39" i="19"/>
  <c r="O39" i="19"/>
  <c r="Q39" i="19"/>
  <c r="R39" i="19"/>
  <c r="S39" i="19"/>
  <c r="T39" i="19"/>
  <c r="D41" i="19"/>
  <c r="E41" i="19"/>
  <c r="E83" i="19" s="1"/>
  <c r="F41" i="19"/>
  <c r="F83" i="19"/>
  <c r="I41" i="19"/>
  <c r="I83" i="19" s="1"/>
  <c r="J41" i="19"/>
  <c r="J83" i="19"/>
  <c r="K41" i="19"/>
  <c r="K83" i="19" s="1"/>
  <c r="L41" i="19"/>
  <c r="L83" i="19" s="1"/>
  <c r="V41" i="19"/>
  <c r="G42" i="19"/>
  <c r="H42" i="19"/>
  <c r="H41" i="19" s="1"/>
  <c r="H83" i="19" s="1"/>
  <c r="M42" i="19"/>
  <c r="M41" i="19" s="1"/>
  <c r="M83" i="19" s="1"/>
  <c r="N42" i="19"/>
  <c r="N41" i="19" s="1"/>
  <c r="N83" i="19" s="1"/>
  <c r="O42" i="19"/>
  <c r="G43" i="19"/>
  <c r="H43" i="19"/>
  <c r="M43" i="19"/>
  <c r="N43" i="19"/>
  <c r="O43" i="19"/>
  <c r="P43" i="19"/>
  <c r="Q43" i="19"/>
  <c r="Q41" i="19" s="1"/>
  <c r="R43" i="19"/>
  <c r="R41" i="19" s="1"/>
  <c r="S43" i="19"/>
  <c r="S41" i="19"/>
  <c r="T43" i="19"/>
  <c r="T41" i="19"/>
  <c r="U43" i="19"/>
  <c r="U41" i="19"/>
  <c r="P44" i="19"/>
  <c r="D52" i="19"/>
  <c r="E52" i="19"/>
  <c r="F52" i="19"/>
  <c r="G52" i="19"/>
  <c r="H52" i="19"/>
  <c r="M52" i="19"/>
  <c r="N52" i="19"/>
  <c r="O52" i="19"/>
  <c r="Q52" i="19"/>
  <c r="R52" i="19"/>
  <c r="S52" i="19"/>
  <c r="T52" i="19"/>
  <c r="T50" i="19" s="1"/>
  <c r="D54" i="19"/>
  <c r="D50" i="19" s="1"/>
  <c r="D77" i="19" s="1"/>
  <c r="E54" i="19"/>
  <c r="F54" i="19"/>
  <c r="F50" i="19" s="1"/>
  <c r="F77" i="19" s="1"/>
  <c r="G54" i="19"/>
  <c r="G50" i="19" s="1"/>
  <c r="G77" i="19" s="1"/>
  <c r="H54" i="19"/>
  <c r="M54" i="19"/>
  <c r="M50" i="19"/>
  <c r="M77" i="19" s="1"/>
  <c r="N54" i="19"/>
  <c r="O54" i="19"/>
  <c r="Q54" i="19"/>
  <c r="Q50" i="19" s="1"/>
  <c r="R54" i="19"/>
  <c r="R50" i="19" s="1"/>
  <c r="S54" i="19"/>
  <c r="T54" i="19"/>
  <c r="I50" i="19"/>
  <c r="I77" i="19"/>
  <c r="J50" i="19"/>
  <c r="J77" i="19"/>
  <c r="K50" i="19"/>
  <c r="K77" i="19"/>
  <c r="V50" i="19"/>
  <c r="I75" i="19"/>
  <c r="J75" i="19"/>
  <c r="K75" i="19"/>
  <c r="J79" i="19"/>
  <c r="A1" i="5"/>
  <c r="A69" i="22"/>
  <c r="A64" i="8" s="1"/>
  <c r="L77" i="19"/>
  <c r="Q49" i="22"/>
  <c r="S50" i="19"/>
  <c r="I28" i="19"/>
  <c r="I81" i="19"/>
  <c r="O50" i="19"/>
  <c r="O77" i="19" s="1"/>
  <c r="S30" i="19"/>
  <c r="U16" i="19"/>
  <c r="U14" i="19" s="1"/>
  <c r="J14" i="39"/>
  <c r="N16" i="19" l="1"/>
  <c r="N14" i="19" s="1"/>
  <c r="N79" i="19" s="1"/>
  <c r="M16" i="19"/>
  <c r="M14" i="19" s="1"/>
  <c r="M79" i="19" s="1"/>
  <c r="T14" i="19"/>
  <c r="F28" i="19"/>
  <c r="F81" i="19" s="1"/>
  <c r="E27" i="39"/>
  <c r="E28" i="39" s="1"/>
  <c r="R14" i="19"/>
  <c r="J17" i="39"/>
  <c r="J22" i="39"/>
  <c r="G41" i="19"/>
  <c r="G83" i="19" s="1"/>
  <c r="O16" i="19"/>
  <c r="O14" i="19" s="1"/>
  <c r="O79" i="19" s="1"/>
  <c r="S16" i="19"/>
  <c r="S14" i="19" s="1"/>
  <c r="T16" i="19"/>
  <c r="O50" i="22"/>
  <c r="P16" i="19"/>
  <c r="I27" i="39"/>
  <c r="I28" i="39" s="1"/>
  <c r="D27" i="39"/>
  <c r="O30" i="19"/>
  <c r="N50" i="19"/>
  <c r="N77" i="19" s="1"/>
  <c r="N30" i="19"/>
  <c r="N28" i="19" s="1"/>
  <c r="N81" i="19" s="1"/>
  <c r="H30" i="19"/>
  <c r="H28" i="19" s="1"/>
  <c r="H81" i="19" s="1"/>
  <c r="P41" i="19"/>
  <c r="K28" i="19"/>
  <c r="K81" i="19" s="1"/>
  <c r="K85" i="19" s="1"/>
  <c r="V16" i="19"/>
  <c r="V14" i="19" s="1"/>
  <c r="E79" i="19"/>
  <c r="G27" i="39"/>
  <c r="G28" i="39" s="1"/>
  <c r="U30" i="19"/>
  <c r="U28" i="19" s="1"/>
  <c r="J18" i="39"/>
  <c r="O41" i="19"/>
  <c r="O83" i="19" s="1"/>
  <c r="J12" i="39"/>
  <c r="J23" i="39"/>
  <c r="S28" i="19"/>
  <c r="E50" i="19"/>
  <c r="E77" i="19" s="1"/>
  <c r="J28" i="19"/>
  <c r="J81" i="19" s="1"/>
  <c r="J85" i="19" s="1"/>
  <c r="J16" i="39"/>
  <c r="H50" i="19"/>
  <c r="H77" i="19" s="1"/>
  <c r="G28" i="19"/>
  <c r="G81" i="19" s="1"/>
  <c r="P49" i="22"/>
  <c r="P50" i="22" s="1"/>
  <c r="L85" i="19"/>
  <c r="D28" i="39"/>
  <c r="F27" i="39"/>
  <c r="F28" i="39" s="1"/>
  <c r="H27" i="39"/>
  <c r="H28" i="39" s="1"/>
  <c r="J11" i="39"/>
  <c r="J15" i="39"/>
  <c r="Q50" i="22" l="1"/>
  <c r="D29" i="39"/>
  <c r="J27" i="39"/>
  <c r="J2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theodore_eu</author>
  </authors>
  <commentList>
    <comment ref="R16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16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24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Questionnaire. The figure also represents Primary &amp; High School</t>
        </r>
      </text>
    </comment>
    <comment ref="S26" authorId="0" shapeId="0" xr:uid="{00000000-0006-0000-0D00-000004000000}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</t>
        </r>
      </text>
    </comment>
  </commentList>
</comments>
</file>

<file path=xl/sharedStrings.xml><?xml version="1.0" encoding="utf-8"?>
<sst xmlns="http://schemas.openxmlformats.org/spreadsheetml/2006/main" count="1295" uniqueCount="370">
  <si>
    <t xml:space="preserve"> </t>
  </si>
  <si>
    <t>Primary</t>
  </si>
  <si>
    <t>Secondary</t>
  </si>
  <si>
    <t>TOTAL</t>
  </si>
  <si>
    <t>Government</t>
  </si>
  <si>
    <t>Private</t>
  </si>
  <si>
    <t>All Schools</t>
  </si>
  <si>
    <t>Males</t>
  </si>
  <si>
    <t>Females</t>
  </si>
  <si>
    <t>SOURCE:  Education Department, Cayman Islands Government</t>
  </si>
  <si>
    <t>Students</t>
  </si>
  <si>
    <t>Teachers</t>
  </si>
  <si>
    <t>PRIVATE SCHOOLS</t>
  </si>
  <si>
    <t>(all year groups)</t>
  </si>
  <si>
    <t>Special Education</t>
  </si>
  <si>
    <t>Lighthouse School</t>
  </si>
  <si>
    <t>Grand Cayman</t>
  </si>
  <si>
    <t>Enrollment</t>
  </si>
  <si>
    <t>Cayman Brac</t>
  </si>
  <si>
    <t>Notes</t>
  </si>
  <si>
    <t>Tertiary Institutions</t>
  </si>
  <si>
    <t>Community College of The Cayman Islands</t>
  </si>
  <si>
    <t>International College of The Cayman Islands</t>
  </si>
  <si>
    <t>Cayman Islands Law School</t>
  </si>
  <si>
    <t>Total</t>
  </si>
  <si>
    <t>Male</t>
  </si>
  <si>
    <t>Female</t>
  </si>
  <si>
    <t>School Staff</t>
  </si>
  <si>
    <t>1996 (SSR)</t>
  </si>
  <si>
    <t>Recurrent</t>
  </si>
  <si>
    <t>Expenditure</t>
  </si>
  <si>
    <t>2.03c</t>
  </si>
  <si>
    <t>The International College of The Cayman Islands</t>
  </si>
  <si>
    <t xml:space="preserve">Males </t>
  </si>
  <si>
    <t>Associates Degree</t>
  </si>
  <si>
    <t>Business Studies</t>
  </si>
  <si>
    <t>Hospitality</t>
  </si>
  <si>
    <t>B.S.c.</t>
  </si>
  <si>
    <t>Other</t>
  </si>
  <si>
    <t>Masters</t>
  </si>
  <si>
    <t>MBA</t>
  </si>
  <si>
    <t>Science</t>
  </si>
  <si>
    <t>Full-time Certificate/Diploma courses</t>
  </si>
  <si>
    <t>Technology</t>
  </si>
  <si>
    <t>General Studies Department</t>
  </si>
  <si>
    <t>A-Levels</t>
  </si>
  <si>
    <t>Full-time</t>
  </si>
  <si>
    <t>Part-time</t>
  </si>
  <si>
    <t>Professional Development</t>
  </si>
  <si>
    <t>Accounting (AAT)</t>
  </si>
  <si>
    <t>Banking</t>
  </si>
  <si>
    <t>Insurance</t>
  </si>
  <si>
    <t>Administrative and Secretarial Practice</t>
  </si>
  <si>
    <t>Evening classes taken</t>
  </si>
  <si>
    <t>GCSE Repeaters (Full-time)</t>
  </si>
  <si>
    <t>…</t>
  </si>
  <si>
    <t>Caymanian</t>
  </si>
  <si>
    <t>Non-Caymanian</t>
  </si>
  <si>
    <t>Graduates</t>
  </si>
  <si>
    <t>Honours Degree</t>
  </si>
  <si>
    <t>Diploma Programme</t>
  </si>
  <si>
    <t>Professional Practice</t>
  </si>
  <si>
    <t>Total Staff</t>
  </si>
  <si>
    <t>Examination Results</t>
  </si>
  <si>
    <t>GCE A-Level</t>
  </si>
  <si>
    <t>Entries</t>
  </si>
  <si>
    <t>Passes</t>
  </si>
  <si>
    <t>(Percent)</t>
  </si>
  <si>
    <t>GCE OA and O Level</t>
  </si>
  <si>
    <t>Higher level Passes</t>
  </si>
  <si>
    <t>All Passes</t>
  </si>
  <si>
    <t>GCSE/CXC General &amp; Technical</t>
  </si>
  <si>
    <t>CE/CSE/CXC Basic</t>
  </si>
  <si>
    <t>All Exams</t>
  </si>
  <si>
    <t>All higher level passes</t>
  </si>
  <si>
    <t>All passes</t>
  </si>
  <si>
    <t>All Cayman Islands High Schools</t>
  </si>
  <si>
    <t>There was no graduating class in 1995, examinations were taken by repeat students only.</t>
  </si>
  <si>
    <t>-</t>
  </si>
  <si>
    <t>Wesleyan</t>
  </si>
  <si>
    <t>Truth for Youth</t>
  </si>
  <si>
    <t>Triple C</t>
  </si>
  <si>
    <t>First Baptist</t>
  </si>
  <si>
    <t>I.C.C.I.</t>
  </si>
  <si>
    <t>Law School</t>
  </si>
  <si>
    <t>Humanities</t>
  </si>
  <si>
    <t>Education</t>
  </si>
  <si>
    <t>Social &amp; Business Studies</t>
  </si>
  <si>
    <t>Professional</t>
  </si>
  <si>
    <t>Engineering, Technology &amp; Science</t>
  </si>
  <si>
    <t>Medicine &amp; Veterinary Studies</t>
  </si>
  <si>
    <t>All Students</t>
  </si>
  <si>
    <t>New scholarships granted in year</t>
  </si>
  <si>
    <t>Adult</t>
  </si>
  <si>
    <t>St. Ignatius</t>
  </si>
  <si>
    <t>Cayman Academy</t>
  </si>
  <si>
    <t xml:space="preserve">Applied Management Practice </t>
  </si>
  <si>
    <r>
      <t>A+ Computer Technician</t>
    </r>
    <r>
      <rPr>
        <vertAlign val="superscript"/>
        <sz val="10"/>
        <rFont val="Arial"/>
        <family val="2"/>
      </rPr>
      <t xml:space="preserve"> </t>
    </r>
  </si>
  <si>
    <t>Extension Services</t>
  </si>
  <si>
    <t>Source:  Community College of the Cayman Islands</t>
  </si>
  <si>
    <t>General Student</t>
  </si>
  <si>
    <t xml:space="preserve">Enrolment </t>
  </si>
  <si>
    <t>Microsoft Certified System Administrator</t>
  </si>
  <si>
    <t>2.04a</t>
  </si>
  <si>
    <t xml:space="preserve">Network </t>
  </si>
  <si>
    <t xml:space="preserve">Security </t>
  </si>
  <si>
    <t>Renamed University College of the Cayman Islands in 2005.</t>
  </si>
  <si>
    <t>Due to low enrolment and insufficient funds this course was not offered in 1999 - 2002.</t>
  </si>
  <si>
    <t>..</t>
  </si>
  <si>
    <t xml:space="preserve"> - </t>
  </si>
  <si>
    <t xml:space="preserve">. . </t>
  </si>
  <si>
    <t>STATISTICAL COMPENDIUM 2007</t>
  </si>
  <si>
    <t>. .</t>
  </si>
  <si>
    <t>.  .</t>
  </si>
  <si>
    <t>Cayman Prep &amp; High School</t>
  </si>
  <si>
    <t xml:space="preserve">MCSE Microsoft Certified Comp. Engineer </t>
  </si>
  <si>
    <r>
      <t>Nursing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</si>
  <si>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Colleges</t>
  </si>
  <si>
    <t>Note:</t>
  </si>
  <si>
    <t>Notes:</t>
  </si>
  <si>
    <t>Associate Degree</t>
  </si>
  <si>
    <t>Accounting Technician</t>
  </si>
  <si>
    <t>Computer Technician</t>
  </si>
  <si>
    <t xml:space="preserve">Computer Application </t>
  </si>
  <si>
    <t>Electro-Technolgy</t>
  </si>
  <si>
    <t>Certificate in Management Practice</t>
  </si>
  <si>
    <t>Cayman Banking Certificate</t>
  </si>
  <si>
    <t>Legal Secretarial Programme</t>
  </si>
  <si>
    <t>Certificate in Offshore Administration</t>
  </si>
  <si>
    <t>Academic Programme</t>
  </si>
  <si>
    <t>Bachelors Degree</t>
  </si>
  <si>
    <t>Full Time</t>
  </si>
  <si>
    <t>Part Time</t>
  </si>
  <si>
    <t>Construction Technology</t>
  </si>
  <si>
    <t xml:space="preserve">Financial Services Certificate </t>
  </si>
  <si>
    <t>Professional Programme - all students are part time</t>
  </si>
  <si>
    <r>
      <t>Enrollment in Tertiary Institutions: Community College of the Cayman Islands,</t>
    </r>
    <r>
      <rPr>
        <vertAlign val="superscript"/>
        <sz val="12"/>
        <rFont val="Arial"/>
        <family val="2"/>
      </rPr>
      <t>1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1991 -  2003</t>
    </r>
  </si>
  <si>
    <t>of which:</t>
  </si>
  <si>
    <t>Percentage Chance</t>
  </si>
  <si>
    <t>(CI$000)</t>
  </si>
  <si>
    <t>0</t>
  </si>
  <si>
    <t>Diploma</t>
  </si>
  <si>
    <t>Professional Computer Courses</t>
  </si>
  <si>
    <t xml:space="preserve">. .  </t>
  </si>
  <si>
    <t xml:space="preserve">Executive </t>
  </si>
  <si>
    <t>Enrolment</t>
  </si>
  <si>
    <t>The Executive programme was introduced in 2008.</t>
  </si>
  <si>
    <t>External</t>
  </si>
  <si>
    <t>Ordinary Degree</t>
  </si>
  <si>
    <t>Staff</t>
  </si>
  <si>
    <t>Bachelors</t>
  </si>
  <si>
    <t>admission criteria.</t>
  </si>
  <si>
    <t xml:space="preserve">Certificate Programme - all students are full time. During 2007 admission was unusally  high due to lowering of the </t>
  </si>
  <si>
    <t>UCCI</t>
  </si>
  <si>
    <t>George Town</t>
  </si>
  <si>
    <t>West Bay</t>
  </si>
  <si>
    <t>Bodden Town</t>
  </si>
  <si>
    <t>North Side</t>
  </si>
  <si>
    <t>East End</t>
  </si>
  <si>
    <t>Circulation Statistics</t>
  </si>
  <si>
    <t>Check Ins</t>
  </si>
  <si>
    <t>Check Outs</t>
  </si>
  <si>
    <r>
      <t>Certificate Programme</t>
    </r>
    <r>
      <rPr>
        <b/>
        <vertAlign val="superscript"/>
        <sz val="10"/>
        <rFont val="Arial"/>
        <family val="2"/>
      </rPr>
      <t>1</t>
    </r>
  </si>
  <si>
    <r>
      <t>Professional Programme</t>
    </r>
    <r>
      <rPr>
        <b/>
        <vertAlign val="superscript"/>
        <sz val="10"/>
        <rFont val="Arial"/>
        <family val="2"/>
      </rPr>
      <t>2</t>
    </r>
  </si>
  <si>
    <r>
      <t>Executive Programme</t>
    </r>
    <r>
      <rPr>
        <b/>
        <vertAlign val="superscript"/>
        <sz val="10"/>
        <rFont val="Arial"/>
        <family val="2"/>
      </rPr>
      <t>3</t>
    </r>
  </si>
  <si>
    <r>
      <t>Continuing Education</t>
    </r>
    <r>
      <rPr>
        <b/>
        <vertAlign val="superscript"/>
        <sz val="10"/>
        <rFont val="Arial"/>
        <family val="2"/>
      </rPr>
      <t>4</t>
    </r>
  </si>
  <si>
    <t>STR</t>
  </si>
  <si>
    <t>Course:</t>
  </si>
  <si>
    <t>Status:</t>
  </si>
  <si>
    <t>Sex:</t>
  </si>
  <si>
    <t>Continuing education includes leisure courses with no matriculation requirements and do not lead to a degree, only for leisure or vocational purposes.</t>
  </si>
  <si>
    <t>Leisure courses which were  part of the continuing programme were discontinued.</t>
  </si>
  <si>
    <t>STATISTICAL COMPENDIUM 2011</t>
  </si>
  <si>
    <t xml:space="preserve">Note: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</si>
  <si>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</si>
  <si>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Law School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</si>
  <si>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University College of the Cayman Islands</t>
    </r>
  </si>
  <si>
    <t>Special Education All Levels</t>
  </si>
  <si>
    <t>Circulation refers to the number of books used</t>
  </si>
  <si>
    <t>2011*</t>
  </si>
  <si>
    <t>Teacher's Aide</t>
  </si>
  <si>
    <t>* 2011 data are only for Jan-May 2011</t>
  </si>
  <si>
    <r>
      <t>Number of Settings Delivering Early Childhood Care and Education (ECCE)</t>
    </r>
    <r>
      <rPr>
        <b/>
        <vertAlign val="superscript"/>
        <sz val="10"/>
        <rFont val="Arial"/>
        <family val="2"/>
      </rPr>
      <t>1</t>
    </r>
  </si>
  <si>
    <t>ECCE Private Centres</t>
  </si>
  <si>
    <t>ECCE Settings in Private schools</t>
  </si>
  <si>
    <t>ECCE Settings in Public schools</t>
  </si>
  <si>
    <t>Starting in 2011 there was a change in the classifications of Pre-school and Day-Care centres to more accurately reflect the services they provided. As a consequence there was an increase in Pre-school/Day care Centres</t>
  </si>
  <si>
    <t>Source: Department of Education Services</t>
  </si>
  <si>
    <t>School -based Specialist Teachers</t>
  </si>
  <si>
    <t>Support Specialists</t>
  </si>
  <si>
    <t>National Results</t>
  </si>
  <si>
    <t>Percentage Cohort Performance at Attainment Thresholds</t>
  </si>
  <si>
    <t>%7+ Level 2 Passes</t>
  </si>
  <si>
    <t>%5+ Level 2 Passes</t>
  </si>
  <si>
    <t>%5+ Level 1 Passes</t>
  </si>
  <si>
    <t>%1+ Level 1 Pass</t>
  </si>
  <si>
    <t>%Level 2 English</t>
  </si>
  <si>
    <t>%Level 2 Mathematics</t>
  </si>
  <si>
    <t>District</t>
  </si>
  <si>
    <t>All Districts</t>
  </si>
  <si>
    <t>Sister Islands</t>
  </si>
  <si>
    <r>
      <t>Recept.</t>
    </r>
    <r>
      <rPr>
        <b/>
        <vertAlign val="superscript"/>
        <sz val="10"/>
        <rFont val="Arial"/>
        <family val="2"/>
      </rPr>
      <t>1</t>
    </r>
  </si>
  <si>
    <t>Schools</t>
  </si>
  <si>
    <t>1. Schools may cater for both Primary and Secondary age students so the number for 'Total schools' may not equal the sum of Primary and Secondary Schools</t>
  </si>
  <si>
    <t>%5+ Level 2 (including English and Math)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</si>
  <si>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Education, schools and colleges</t>
    </r>
  </si>
  <si>
    <t>3.02a</t>
  </si>
  <si>
    <t>STATISTICAL COMPENDIUM 2012</t>
  </si>
  <si>
    <t>3.02b</t>
  </si>
  <si>
    <t>3.06a</t>
  </si>
  <si>
    <t>3.06b</t>
  </si>
  <si>
    <t>Enrolment in Tertiary Institutions: The Cayman Islands Law School, 2007 - 2012</t>
  </si>
  <si>
    <t>Enrolment in Tertiary Institutions: University College of the Cayman Islands, 2007 - 2012</t>
  </si>
  <si>
    <t>Recurrent Expenditures on Education by Type of School, 2007 -  2012</t>
  </si>
  <si>
    <t>Grand Cayman Government High Schools (John Gray/Clifton Hunter)</t>
  </si>
  <si>
    <t>Cayman Brac High Schools (Layman Scott High School)</t>
  </si>
  <si>
    <t>Hope</t>
  </si>
  <si>
    <t>Cayman International School</t>
  </si>
  <si>
    <t>Grace Christian Academy</t>
  </si>
  <si>
    <t>CIFEC</t>
  </si>
  <si>
    <r>
      <t>Secondary</t>
    </r>
    <r>
      <rPr>
        <b/>
        <vertAlign val="superscript"/>
        <sz val="10"/>
        <rFont val="Arial"/>
        <family val="2"/>
      </rPr>
      <t>2</t>
    </r>
  </si>
  <si>
    <t>2. There are no Secondary Schools in the districts of East End and Bodden Town</t>
  </si>
  <si>
    <t>All results are expressed as a percentage of the total cohort size and not just those students entered for the exam</t>
  </si>
  <si>
    <t>Ratio (F:M)</t>
  </si>
  <si>
    <t>3.01b</t>
  </si>
  <si>
    <t>Total ECCE Settings</t>
  </si>
  <si>
    <t xml:space="preserve">Age </t>
  </si>
  <si>
    <t>3 years</t>
  </si>
  <si>
    <t>4 years</t>
  </si>
  <si>
    <t>3.01a</t>
  </si>
  <si>
    <t>&gt;4 years</t>
  </si>
  <si>
    <t>2 years</t>
  </si>
  <si>
    <t>1 years</t>
  </si>
  <si>
    <t>&lt;1 years</t>
  </si>
  <si>
    <t>ECCE in Private Schools</t>
  </si>
  <si>
    <t>ECCE Centres</t>
  </si>
  <si>
    <t>Cayman Islands Total</t>
  </si>
  <si>
    <t>3.01c</t>
  </si>
  <si>
    <r>
      <t>Cohort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Size</t>
    </r>
  </si>
  <si>
    <t>Age</t>
  </si>
  <si>
    <t>Year 7</t>
  </si>
  <si>
    <t>Year 8</t>
  </si>
  <si>
    <t>Year 9</t>
  </si>
  <si>
    <t>Year 10</t>
  </si>
  <si>
    <t>Year 11</t>
  </si>
  <si>
    <t>Year 12</t>
  </si>
  <si>
    <t>Year 13</t>
  </si>
  <si>
    <t>As of September</t>
  </si>
  <si>
    <t>In house Use</t>
  </si>
  <si>
    <t>Library Card  Holders</t>
  </si>
  <si>
    <t>Library</t>
  </si>
  <si>
    <t>CYA</t>
  </si>
  <si>
    <t>Members</t>
  </si>
  <si>
    <t>Adult Resident Library Card Holders</t>
  </si>
  <si>
    <t>Adult Non Resident Library Card Holders</t>
  </si>
  <si>
    <t>CYA Resident Library Card Holders</t>
  </si>
  <si>
    <t>CYA Non Resident Library Card Holders</t>
  </si>
  <si>
    <t>Institutional Card Holders</t>
  </si>
  <si>
    <t>Senior Resident Card Holders</t>
  </si>
  <si>
    <t>Homebound Resident Library Card Holders</t>
  </si>
  <si>
    <t>Total Card Holders</t>
  </si>
  <si>
    <t xml:space="preserve">Total Library Use Per Hour </t>
  </si>
  <si>
    <t xml:space="preserve">Library  </t>
  </si>
  <si>
    <t>Total/Hour</t>
  </si>
  <si>
    <t>10:00 - 11:00 AM</t>
  </si>
  <si>
    <t>11:00 - 12:00 PM</t>
  </si>
  <si>
    <t>12:00 - 1:00 PM</t>
  </si>
  <si>
    <t>1:00 - 2:00 PM</t>
  </si>
  <si>
    <t>2:00 -3:00 PM</t>
  </si>
  <si>
    <t>3:00 - 4:00 PM</t>
  </si>
  <si>
    <t>4:00 - 5:00 PM</t>
  </si>
  <si>
    <t>5:00 - 6:00 PM</t>
  </si>
  <si>
    <t>Saturday</t>
  </si>
  <si>
    <t>c</t>
  </si>
  <si>
    <t>Total Use by Branch</t>
  </si>
  <si>
    <t>Total Use Per Week</t>
  </si>
  <si>
    <t>Total Library Use 2012</t>
  </si>
  <si>
    <t>Library Visitors 2012</t>
  </si>
  <si>
    <t>IMI Auto Mechanics</t>
  </si>
  <si>
    <r>
      <t xml:space="preserve">Source: </t>
    </r>
    <r>
      <rPr>
        <sz val="10"/>
        <rFont val="Arial"/>
        <family val="2"/>
      </rPr>
      <t>Department of Education Services</t>
    </r>
  </si>
  <si>
    <t>Cohort refers to all students that were on roll on 1st January of that examination year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</si>
  <si>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</si>
  <si>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</si>
  <si>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 &amp; Private Centres delivering Early Childhood Care &amp; Education</t>
    </r>
  </si>
  <si>
    <t>Average No. of Entries for Students</t>
  </si>
  <si>
    <t>3.07a</t>
  </si>
  <si>
    <t>3.07b</t>
  </si>
  <si>
    <t>3.07c</t>
  </si>
  <si>
    <t>Library Card Holders and Members</t>
  </si>
  <si>
    <t>STATISTICAL COMPENDIUM 2013</t>
  </si>
  <si>
    <t>Circulation Statistics of the Public Libraries, 2010 - 2013</t>
  </si>
  <si>
    <t>Grade 6</t>
  </si>
  <si>
    <t>Teachers (Head Count)</t>
  </si>
  <si>
    <t>Teachers (Full Time Equivalent (FTE))</t>
  </si>
  <si>
    <t>STR (Head Count)</t>
  </si>
  <si>
    <t>STR (FTE)</t>
  </si>
  <si>
    <t>SEN Students per Special Education Specialist</t>
  </si>
  <si>
    <t>Government School Special Educational Needs (SEN)</t>
  </si>
  <si>
    <t>Student Teacher Ratio (STR) (Head Count)</t>
  </si>
  <si>
    <t>Note: Schools following the UK system have year groups from Year 1 to Year 6 whereas in schools following the US system the equivalent year groups are Kindergarten (K) and Grade 1 to Grade 6.</t>
  </si>
  <si>
    <t>Grade 1/ Year 2</t>
  </si>
  <si>
    <t>Grade 2/ Year 3</t>
  </si>
  <si>
    <t>Grade 3/ Year 4</t>
  </si>
  <si>
    <t>Grade 4/ Year 5</t>
  </si>
  <si>
    <t>Grade 5/ Year 6</t>
  </si>
  <si>
    <t>K'garten/ Year 1</t>
  </si>
  <si>
    <t>Please note the full time equivalent (FTE) staffing (included in the table from 2013) only includes classroom based staff for the proportion of their time spent teaching in the classroom.</t>
  </si>
  <si>
    <r>
      <t>Pre-College</t>
    </r>
    <r>
      <rPr>
        <b/>
        <vertAlign val="superscript"/>
        <sz val="10"/>
        <rFont val="Arial"/>
        <family val="2"/>
      </rPr>
      <t>5</t>
    </r>
  </si>
  <si>
    <t>ALL SCHOOLS (excluding Lighthouse School)</t>
  </si>
  <si>
    <t>GOVERNMENT SCHOOLS</t>
  </si>
  <si>
    <r>
      <rPr>
        <b/>
        <sz val="11"/>
        <color indexed="8"/>
        <rFont val="Arial"/>
        <family val="2"/>
      </rPr>
      <t>Source:</t>
    </r>
    <r>
      <rPr>
        <sz val="11"/>
        <color indexed="8"/>
        <rFont val="Arial"/>
        <family val="2"/>
      </rPr>
      <t xml:space="preserve"> Department of Education Services</t>
    </r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</si>
  <si>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Department of Education Services</t>
    </r>
  </si>
  <si>
    <t>Average No. Of Entries/ student</t>
  </si>
  <si>
    <t>Academic criteria was changed from measuring the number of passes to measuring the number of unique subjects achieved</t>
  </si>
  <si>
    <t>Homeschool</t>
  </si>
  <si>
    <t>HOMESCHOOL</t>
  </si>
  <si>
    <t>N/A</t>
  </si>
  <si>
    <r>
      <t>Secondary</t>
    </r>
    <r>
      <rPr>
        <b/>
        <vertAlign val="superscript"/>
        <sz val="10"/>
        <color theme="1"/>
        <rFont val="Arial"/>
        <family val="2"/>
      </rPr>
      <t>2</t>
    </r>
  </si>
  <si>
    <r>
      <t>Total schools</t>
    </r>
    <r>
      <rPr>
        <vertAlign val="superscript"/>
        <sz val="10"/>
        <color theme="1"/>
        <rFont val="Arial"/>
        <family val="2"/>
      </rPr>
      <t>1</t>
    </r>
  </si>
  <si>
    <t>Circulation refers to the number of books checked in, checked out or renewed.</t>
  </si>
  <si>
    <r>
      <t xml:space="preserve">Renewed books also appear in the </t>
    </r>
    <r>
      <rPr>
        <b/>
        <sz val="10"/>
        <rFont val="Arial"/>
        <family val="2"/>
      </rPr>
      <t>Check Outs</t>
    </r>
    <r>
      <rPr>
        <sz val="10"/>
        <rFont val="Arial"/>
        <family val="2"/>
      </rPr>
      <t xml:space="preserve"> column.</t>
    </r>
  </si>
  <si>
    <t>Total Use Per Year</t>
  </si>
  <si>
    <t>New Library Card Holders</t>
  </si>
  <si>
    <t>Total Members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</si>
  <si>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Senior and homebound card holders are included in adult membership figures.</t>
    </r>
  </si>
  <si>
    <r>
      <rPr>
        <b/>
        <sz val="10"/>
        <color theme="1"/>
        <rFont val="Arial"/>
        <family val="2"/>
      </rPr>
      <t>CYA -</t>
    </r>
    <r>
      <rPr>
        <sz val="10"/>
        <color theme="1"/>
        <rFont val="Arial"/>
        <family val="2"/>
      </rPr>
      <t xml:space="preserve"> Children &amp; Young Adults</t>
    </r>
  </si>
  <si>
    <r>
      <t>Accounting/General Business</t>
    </r>
    <r>
      <rPr>
        <vertAlign val="superscript"/>
        <sz val="10"/>
        <rFont val="Arial"/>
        <family val="2"/>
      </rPr>
      <t>2</t>
    </r>
  </si>
  <si>
    <t>Electro-Technology</t>
  </si>
  <si>
    <t>Social Work</t>
  </si>
  <si>
    <r>
      <t>Professional Programme</t>
    </r>
    <r>
      <rPr>
        <b/>
        <vertAlign val="superscript"/>
        <sz val="10"/>
        <rFont val="Arial"/>
        <family val="2"/>
      </rPr>
      <t>3</t>
    </r>
  </si>
  <si>
    <t>Specialised Contract Courses</t>
  </si>
  <si>
    <t>Executive Programme</t>
  </si>
  <si>
    <r>
      <t>Continuing Education/TVET</t>
    </r>
    <r>
      <rPr>
        <b/>
        <vertAlign val="superscript"/>
        <sz val="10"/>
        <rFont val="Arial"/>
        <family val="2"/>
      </rPr>
      <t>4</t>
    </r>
  </si>
  <si>
    <t>Certificate Programme - all students are full time.</t>
  </si>
  <si>
    <t>General Business Certificate introduced in 2018 to replace Accounting Certificate.</t>
  </si>
  <si>
    <t>Professional Programme - all students are part time. Will include specialised contract courses beginning in 2019.</t>
  </si>
  <si>
    <t>Continuing Education/TVET includes leisure, remedial and vocational courses with no matriculation requirements and do not lead to a degree. As of 2019, some technical/vocational programmes will lead to certifications.</t>
  </si>
  <si>
    <t>Pre-College - new category introduced in 2013.</t>
  </si>
  <si>
    <t>Enrolment recorded for the Compendium is based on the Fall semester of each academic year.</t>
  </si>
  <si>
    <t>A full time student is defined as any individual enrolled in 12 or more credit hours in the Fall/Spring semester. Students enrolled in at least 6 credit hours in Summer are also considered full time. All 1-year certificate, pre-college programme and Dual Entry students are considered full time.</t>
  </si>
  <si>
    <t>TVET</t>
  </si>
  <si>
    <t>RESEMBID</t>
  </si>
  <si>
    <t>Continuing Education</t>
  </si>
  <si>
    <r>
      <t>Teachers (Full Time Equivalent (FTE))</t>
    </r>
    <r>
      <rPr>
        <vertAlign val="superscript"/>
        <sz val="11"/>
        <rFont val="Arial"/>
        <family val="2"/>
      </rPr>
      <t>1</t>
    </r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</si>
  <si>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 Department of Education Service &amp; Private Schools</t>
    </r>
  </si>
  <si>
    <r>
      <t xml:space="preserve">Source: </t>
    </r>
    <r>
      <rPr>
        <sz val="11"/>
        <rFont val="Arial"/>
        <family val="2"/>
      </rPr>
      <t>Scholarship Secratariat</t>
    </r>
  </si>
  <si>
    <t>ECCE in Gov't Schools</t>
  </si>
  <si>
    <t>Library Visitors 2023</t>
  </si>
  <si>
    <t>Library Card Holders and Members, 2023</t>
  </si>
  <si>
    <t>COMPENDIUM OF STATISTICS 2023</t>
  </si>
  <si>
    <t>Students Studying Higher Education Overseas on Education Council Scholarships, 2016-2023</t>
  </si>
  <si>
    <t>Enrolment in Tertiary Institutions: University College of the Cayman Islands, 2016 - 2023</t>
  </si>
  <si>
    <t>Computer Application /Technology</t>
  </si>
  <si>
    <t>IT Technician</t>
  </si>
  <si>
    <t>Lunch Hour: Closed</t>
  </si>
  <si>
    <t>6:00-7:30PM</t>
  </si>
  <si>
    <t>Branch Closes at 6pm</t>
  </si>
  <si>
    <t>Early Childhood Care and Education Enrolment and Staffing 2014-2023</t>
  </si>
  <si>
    <t>Early Childhood Care and Education (ECCE), Enrolment by District and Gender, 2014-2023</t>
  </si>
  <si>
    <t>Early Childhood Care and Education, Enrolment by Age and Gender, 2023</t>
  </si>
  <si>
    <t>Enrolment by Age and Gender, 2023</t>
  </si>
  <si>
    <t>Primary &amp; Secondary Education, Enrolment by Sector, Type of School and Gender, 2017-2023</t>
  </si>
  <si>
    <t>Primary and Secondary Education, Enrolment by Sector, Level of School, District and Gender, 2023</t>
  </si>
  <si>
    <t>3.02c: Government &amp; Private Primary School Enrolment by Age, Grade and Gender, 2023</t>
  </si>
  <si>
    <t>Compulsory Schooling Statistics, 2023</t>
  </si>
  <si>
    <t>3.02d: Government &amp; Private Secondary School Enrolment by Age, Grade and Gender 2023</t>
  </si>
  <si>
    <t>Compulsory Schooling Statistics, 2016-2023</t>
  </si>
  <si>
    <t>Student Teacher Ratios (STR), 2016 - 2023</t>
  </si>
  <si>
    <t>Examination Results, Government High Schools 2015-2023</t>
  </si>
  <si>
    <t>Circulation Statistics of the Public Libraries,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</si>
</sst>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\-\ #\ \-"/>
    <numFmt numFmtId="167" formatCode="0.0"/>
    <numFmt numFmtId="168" formatCode="0.000"/>
    <numFmt numFmtId="169" formatCode="#,##0.0"/>
    <numFmt numFmtId="170" formatCode="#,##0.0_);\(#,##0.0\)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Book Antiqua"/>
      <family val="1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Book Antiqua"/>
      <family val="1"/>
    </font>
    <font>
      <vertAlign val="superscript"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9"/>
      <color rgb="FF000000"/>
      <name val="Arial"/>
      <family val="2"/>
    </font>
    <font>
      <i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1" applyNumberFormat="0" applyAlignment="0" applyProtection="0"/>
    <xf numFmtId="0" fontId="37" fillId="17" borderId="2" applyNumberFormat="0" applyAlignment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1" applyNumberFormat="0" applyAlignment="0" applyProtection="0"/>
    <xf numFmtId="0" fontId="44" fillId="0" borderId="6" applyNumberFormat="0" applyFill="0" applyAlignment="0" applyProtection="0"/>
    <xf numFmtId="0" fontId="45" fillId="7" borderId="0" applyNumberFormat="0" applyBorder="0" applyAlignment="0" applyProtection="0"/>
    <xf numFmtId="0" fontId="49" fillId="0" borderId="0"/>
    <xf numFmtId="0" fontId="4" fillId="0" borderId="0" applyAlignment="0" applyProtection="0"/>
    <xf numFmtId="0" fontId="4" fillId="0" borderId="0"/>
    <xf numFmtId="0" fontId="56" fillId="0" borderId="0"/>
    <xf numFmtId="0" fontId="4" fillId="0" borderId="0" applyAlignment="0" applyProtection="0"/>
    <xf numFmtId="0" fontId="4" fillId="0" borderId="0" applyAlignment="0" applyProtection="0"/>
    <xf numFmtId="0" fontId="4" fillId="0" borderId="0" applyAlignment="0" applyProtection="0"/>
    <xf numFmtId="0" fontId="4" fillId="0" borderId="0"/>
    <xf numFmtId="0" fontId="49" fillId="0" borderId="0" applyAlignment="0" applyProtection="0"/>
    <xf numFmtId="0" fontId="4" fillId="4" borderId="7" applyNumberFormat="0" applyFont="0" applyAlignment="0" applyProtection="0"/>
    <xf numFmtId="0" fontId="46" fillId="16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4" fillId="0" borderId="0" applyNumberFormat="0" applyFill="0" applyBorder="0" applyAlignment="0" applyProtection="0"/>
  </cellStyleXfs>
  <cellXfs count="644">
    <xf numFmtId="0" fontId="0" fillId="0" borderId="0" xfId="0"/>
    <xf numFmtId="0" fontId="5" fillId="0" borderId="0" xfId="0" applyFont="1"/>
    <xf numFmtId="0" fontId="0" fillId="0" borderId="10" xfId="0" applyBorder="1"/>
    <xf numFmtId="0" fontId="8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0" fillId="0" borderId="11" xfId="0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5" fontId="0" fillId="0" borderId="0" xfId="28" applyNumberFormat="1" applyFont="1" applyAlignment="1">
      <alignment horizontal="right"/>
    </xf>
    <xf numFmtId="0" fontId="4" fillId="0" borderId="0" xfId="0" applyFont="1"/>
    <xf numFmtId="165" fontId="0" fillId="0" borderId="0" xfId="28" applyNumberFormat="1" applyFont="1"/>
    <xf numFmtId="165" fontId="0" fillId="0" borderId="0" xfId="28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/>
    <xf numFmtId="166" fontId="0" fillId="0" borderId="0" xfId="0" applyNumberFormat="1" applyAlignment="1">
      <alignment horizontal="centerContinuous"/>
    </xf>
    <xf numFmtId="0" fontId="3" fillId="0" borderId="11" xfId="0" applyFont="1" applyBorder="1" applyAlignment="1">
      <alignment horizontal="center"/>
    </xf>
    <xf numFmtId="165" fontId="8" fillId="0" borderId="0" xfId="28" applyNumberFormat="1" applyFont="1" applyAlignment="1">
      <alignment horizontal="right"/>
    </xf>
    <xf numFmtId="165" fontId="7" fillId="0" borderId="0" xfId="28" applyNumberFormat="1" applyFont="1" applyAlignment="1">
      <alignment horizontal="right"/>
    </xf>
    <xf numFmtId="0" fontId="10" fillId="0" borderId="0" xfId="0" applyFont="1"/>
    <xf numFmtId="0" fontId="10" fillId="0" borderId="0" xfId="0" applyFo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Continuous"/>
    </xf>
    <xf numFmtId="165" fontId="3" fillId="0" borderId="0" xfId="28" applyNumberFormat="1" applyFont="1"/>
    <xf numFmtId="0" fontId="0" fillId="0" borderId="0" xfId="0" applyFill="1"/>
    <xf numFmtId="0" fontId="3" fillId="0" borderId="11" xfId="0" applyFont="1" applyBorder="1" applyAlignment="1">
      <alignment horizontal="left" wrapText="1"/>
    </xf>
    <xf numFmtId="0" fontId="6" fillId="0" borderId="0" xfId="0" applyFont="1"/>
    <xf numFmtId="165" fontId="0" fillId="0" borderId="0" xfId="28" applyNumberFormat="1" applyFont="1" applyAlignment="1">
      <alignment horizontal="center"/>
    </xf>
    <xf numFmtId="165" fontId="3" fillId="0" borderId="0" xfId="28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0" fillId="0" borderId="11" xfId="0" applyFont="1" applyBorder="1"/>
    <xf numFmtId="165" fontId="7" fillId="0" borderId="0" xfId="28" applyNumberFormat="1" applyFont="1"/>
    <xf numFmtId="0" fontId="7" fillId="0" borderId="11" xfId="0" applyFont="1" applyBorder="1"/>
    <xf numFmtId="0" fontId="5" fillId="0" borderId="0" xfId="0" applyFont="1" applyAlignment="1">
      <alignment horizontal="left"/>
    </xf>
    <xf numFmtId="0" fontId="7" fillId="0" borderId="11" xfId="0" applyFont="1" applyBorder="1" applyAlignment="1">
      <alignment horizontal="right"/>
    </xf>
    <xf numFmtId="0" fontId="7" fillId="0" borderId="0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ill="1" applyBorder="1"/>
    <xf numFmtId="0" fontId="7" fillId="0" borderId="11" xfId="0" applyFont="1" applyFill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7" fillId="0" borderId="11" xfId="0" applyFont="1" applyFill="1" applyBorder="1" applyAlignment="1">
      <alignment horizontal="right"/>
    </xf>
    <xf numFmtId="0" fontId="7" fillId="0" borderId="11" xfId="0" applyNumberFormat="1" applyFont="1" applyBorder="1" applyAlignment="1">
      <alignment horizontal="right"/>
    </xf>
    <xf numFmtId="0" fontId="14" fillId="0" borderId="0" xfId="0" applyFont="1"/>
    <xf numFmtId="0" fontId="0" fillId="18" borderId="0" xfId="0" applyFill="1"/>
    <xf numFmtId="0" fontId="0" fillId="0" borderId="0" xfId="0" applyAlignment="1"/>
    <xf numFmtId="166" fontId="0" fillId="0" borderId="0" xfId="0" applyNumberFormat="1" applyAlignment="1"/>
    <xf numFmtId="165" fontId="4" fillId="0" borderId="0" xfId="28" applyNumberFormat="1" applyFill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7" fillId="0" borderId="0" xfId="0" applyFont="1" applyFill="1" applyBorder="1"/>
    <xf numFmtId="165" fontId="14" fillId="0" borderId="0" xfId="28" applyNumberFormat="1" applyFont="1" applyAlignment="1">
      <alignment horizontal="right"/>
    </xf>
    <xf numFmtId="164" fontId="14" fillId="0" borderId="0" xfId="28" applyNumberFormat="1" applyFont="1" applyAlignment="1">
      <alignment horizontal="center"/>
    </xf>
    <xf numFmtId="164" fontId="14" fillId="0" borderId="0" xfId="28" applyNumberFormat="1" applyFont="1" applyAlignment="1">
      <alignment horizontal="right"/>
    </xf>
    <xf numFmtId="165" fontId="4" fillId="0" borderId="0" xfId="28" applyNumberFormat="1"/>
    <xf numFmtId="165" fontId="4" fillId="0" borderId="0" xfId="28" applyNumberFormat="1" applyFont="1"/>
    <xf numFmtId="0" fontId="7" fillId="0" borderId="0" xfId="0" applyFont="1" applyAlignment="1">
      <alignment horizontal="left"/>
    </xf>
    <xf numFmtId="165" fontId="4" fillId="0" borderId="10" xfId="28" applyNumberFormat="1" applyFont="1" applyBorder="1"/>
    <xf numFmtId="0" fontId="20" fillId="0" borderId="0" xfId="0" applyFont="1" applyAlignment="1">
      <alignment horizontal="right"/>
    </xf>
    <xf numFmtId="165" fontId="4" fillId="0" borderId="0" xfId="28" applyNumberFormat="1" applyFont="1" applyBorder="1"/>
    <xf numFmtId="0" fontId="7" fillId="0" borderId="0" xfId="0" applyFont="1" applyAlignment="1">
      <alignment horizontal="left" indent="1"/>
    </xf>
    <xf numFmtId="164" fontId="9" fillId="0" borderId="0" xfId="28" applyNumberFormat="1" applyFont="1" applyAlignment="1">
      <alignment horizontal="center"/>
    </xf>
    <xf numFmtId="38" fontId="3" fillId="0" borderId="0" xfId="28" applyNumberFormat="1" applyFont="1"/>
    <xf numFmtId="38" fontId="21" fillId="0" borderId="0" xfId="28" applyNumberFormat="1" applyFont="1"/>
    <xf numFmtId="38" fontId="21" fillId="0" borderId="0" xfId="0" applyNumberFormat="1" applyFont="1"/>
    <xf numFmtId="38" fontId="7" fillId="0" borderId="0" xfId="0" applyNumberFormat="1" applyFont="1"/>
    <xf numFmtId="38" fontId="0" fillId="0" borderId="0" xfId="0" applyNumberFormat="1"/>
    <xf numFmtId="38" fontId="0" fillId="0" borderId="0" xfId="28" applyNumberFormat="1" applyFont="1"/>
    <xf numFmtId="38" fontId="14" fillId="0" borderId="0" xfId="28" applyNumberFormat="1" applyFont="1" applyAlignment="1">
      <alignment horizontal="right"/>
    </xf>
    <xf numFmtId="38" fontId="7" fillId="0" borderId="0" xfId="28" applyNumberFormat="1" applyFont="1"/>
    <xf numFmtId="38" fontId="9" fillId="0" borderId="0" xfId="28" applyNumberFormat="1" applyFont="1" applyAlignment="1">
      <alignment horizontal="right"/>
    </xf>
    <xf numFmtId="38" fontId="7" fillId="0" borderId="0" xfId="0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38" fontId="21" fillId="0" borderId="0" xfId="0" applyNumberFormat="1" applyFont="1" applyFill="1"/>
    <xf numFmtId="38" fontId="0" fillId="0" borderId="0" xfId="28" applyNumberFormat="1" applyFont="1" applyFill="1" applyAlignment="1">
      <alignment horizontal="right"/>
    </xf>
    <xf numFmtId="38" fontId="0" fillId="0" borderId="0" xfId="28" applyNumberFormat="1" applyFont="1" applyFill="1"/>
    <xf numFmtId="38" fontId="3" fillId="0" borderId="0" xfId="28" applyNumberFormat="1" applyFont="1" applyFill="1"/>
    <xf numFmtId="38" fontId="21" fillId="0" borderId="0" xfId="28" applyNumberFormat="1" applyFont="1" applyFill="1"/>
    <xf numFmtId="165" fontId="7" fillId="0" borderId="0" xfId="28" applyNumberFormat="1" applyFont="1" applyFill="1"/>
    <xf numFmtId="165" fontId="4" fillId="0" borderId="10" xfId="28" applyNumberFormat="1" applyBorder="1"/>
    <xf numFmtId="165" fontId="10" fillId="0" borderId="0" xfId="28" applyNumberFormat="1" applyFont="1" applyAlignment="1">
      <alignment horizontal="center"/>
    </xf>
    <xf numFmtId="0" fontId="8" fillId="0" borderId="10" xfId="0" applyFont="1" applyBorder="1" applyAlignment="1">
      <alignment horizontal="left" indent="1"/>
    </xf>
    <xf numFmtId="0" fontId="7" fillId="0" borderId="0" xfId="0" applyFont="1" applyAlignment="1"/>
    <xf numFmtId="165" fontId="4" fillId="0" borderId="0" xfId="28" applyNumberFormat="1" applyBorder="1"/>
    <xf numFmtId="0" fontId="7" fillId="0" borderId="0" xfId="0" applyFon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20" fillId="0" borderId="0" xfId="0" applyFont="1" applyAlignment="1"/>
    <xf numFmtId="0" fontId="4" fillId="0" borderId="0" xfId="50"/>
    <xf numFmtId="0" fontId="8" fillId="0" borderId="0" xfId="50" applyFont="1"/>
    <xf numFmtId="0" fontId="20" fillId="0" borderId="0" xfId="50" applyFont="1" applyAlignment="1">
      <alignment horizontal="right"/>
    </xf>
    <xf numFmtId="0" fontId="4" fillId="18" borderId="0" xfId="50" applyFill="1"/>
    <xf numFmtId="165" fontId="4" fillId="0" borderId="0" xfId="32" applyNumberFormat="1"/>
    <xf numFmtId="165" fontId="4" fillId="0" borderId="0" xfId="50" applyNumberFormat="1"/>
    <xf numFmtId="0" fontId="4" fillId="18" borderId="0" xfId="50" applyFill="1" applyAlignment="1">
      <alignment horizontal="centerContinuous"/>
    </xf>
    <xf numFmtId="0" fontId="4" fillId="0" borderId="0" xfId="50" applyFont="1"/>
    <xf numFmtId="165" fontId="10" fillId="0" borderId="0" xfId="28" applyNumberFormat="1" applyFont="1" applyAlignment="1">
      <alignment horizontal="right"/>
    </xf>
    <xf numFmtId="165" fontId="8" fillId="0" borderId="0" xfId="28" applyNumberFormat="1" applyFont="1" applyAlignment="1"/>
    <xf numFmtId="165" fontId="7" fillId="0" borderId="0" xfId="28" applyNumberFormat="1" applyFont="1" applyFill="1" applyAlignment="1">
      <alignment horizontal="right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38" fontId="4" fillId="0" borderId="0" xfId="28" applyNumberFormat="1" applyFont="1" applyAlignment="1">
      <alignment horizontal="right"/>
    </xf>
    <xf numFmtId="165" fontId="7" fillId="0" borderId="0" xfId="28" applyNumberFormat="1" applyFont="1" applyBorder="1"/>
    <xf numFmtId="49" fontId="7" fillId="0" borderId="0" xfId="50" applyNumberFormat="1" applyFont="1" applyBorder="1"/>
    <xf numFmtId="0" fontId="4" fillId="0" borderId="0" xfId="49" applyFill="1"/>
    <xf numFmtId="165" fontId="4" fillId="0" borderId="0" xfId="31" applyNumberFormat="1" applyFill="1"/>
    <xf numFmtId="0" fontId="16" fillId="0" borderId="0" xfId="49" applyFont="1" applyFill="1"/>
    <xf numFmtId="0" fontId="4" fillId="0" borderId="0" xfId="49" applyFont="1" applyFill="1" applyBorder="1"/>
    <xf numFmtId="0" fontId="4" fillId="0" borderId="0" xfId="49" applyFont="1" applyFill="1"/>
    <xf numFmtId="165" fontId="4" fillId="0" borderId="0" xfId="31" applyNumberFormat="1" applyFont="1" applyFill="1"/>
    <xf numFmtId="165" fontId="4" fillId="0" borderId="0" xfId="49" applyNumberFormat="1" applyFill="1"/>
    <xf numFmtId="0" fontId="7" fillId="0" borderId="0" xfId="49" applyFont="1" applyFill="1"/>
    <xf numFmtId="165" fontId="3" fillId="0" borderId="0" xfId="31" applyNumberFormat="1" applyFont="1" applyFill="1"/>
    <xf numFmtId="0" fontId="14" fillId="0" borderId="0" xfId="49" applyFont="1" applyFill="1" applyAlignment="1">
      <alignment horizontal="right"/>
    </xf>
    <xf numFmtId="165" fontId="4" fillId="0" borderId="0" xfId="31" applyNumberFormat="1" applyFont="1" applyFill="1" applyAlignment="1">
      <alignment horizontal="right"/>
    </xf>
    <xf numFmtId="0" fontId="4" fillId="0" borderId="0" xfId="49" applyFont="1" applyFill="1" applyAlignment="1">
      <alignment horizontal="center"/>
    </xf>
    <xf numFmtId="165" fontId="4" fillId="0" borderId="0" xfId="31" applyNumberFormat="1" applyFont="1" applyFill="1" applyBorder="1"/>
    <xf numFmtId="0" fontId="3" fillId="0" borderId="0" xfId="49" applyFont="1" applyFill="1" applyBorder="1" applyAlignment="1">
      <alignment horizontal="left"/>
    </xf>
    <xf numFmtId="0" fontId="3" fillId="0" borderId="0" xfId="49" applyFont="1" applyFill="1" applyBorder="1"/>
    <xf numFmtId="0" fontId="4" fillId="0" borderId="10" xfId="49" applyFont="1" applyFill="1" applyBorder="1"/>
    <xf numFmtId="165" fontId="3" fillId="0" borderId="0" xfId="31" applyNumberFormat="1" applyFont="1" applyFill="1" applyBorder="1"/>
    <xf numFmtId="0" fontId="14" fillId="0" borderId="0" xfId="49" applyFont="1" applyFill="1"/>
    <xf numFmtId="0" fontId="8" fillId="0" borderId="0" xfId="49" applyFont="1" applyFill="1" applyBorder="1" applyAlignment="1">
      <alignment horizontal="left"/>
    </xf>
    <xf numFmtId="166" fontId="4" fillId="0" borderId="0" xfId="49" applyNumberFormat="1" applyFill="1" applyAlignment="1"/>
    <xf numFmtId="0" fontId="4" fillId="0" borderId="0" xfId="49" applyFill="1" applyBorder="1"/>
    <xf numFmtId="0" fontId="17" fillId="0" borderId="0" xfId="49" applyFont="1" applyFill="1" applyBorder="1"/>
    <xf numFmtId="165" fontId="3" fillId="0" borderId="0" xfId="49" applyNumberFormat="1" applyFont="1" applyFill="1" applyBorder="1"/>
    <xf numFmtId="0" fontId="10" fillId="0" borderId="0" xfId="49" applyFont="1" applyFill="1" applyBorder="1"/>
    <xf numFmtId="0" fontId="3" fillId="0" borderId="10" xfId="49" applyFont="1" applyFill="1" applyBorder="1"/>
    <xf numFmtId="165" fontId="4" fillId="0" borderId="10" xfId="31" applyNumberFormat="1" applyFont="1" applyFill="1" applyBorder="1"/>
    <xf numFmtId="0" fontId="4" fillId="0" borderId="10" xfId="49" applyFont="1" applyFill="1" applyBorder="1" applyAlignment="1">
      <alignment horizontal="center"/>
    </xf>
    <xf numFmtId="38" fontId="0" fillId="0" borderId="0" xfId="28" applyNumberFormat="1" applyFont="1" applyAlignment="1">
      <alignment horizontal="right"/>
    </xf>
    <xf numFmtId="38" fontId="32" fillId="0" borderId="0" xfId="28" applyNumberFormat="1" applyFont="1" applyAlignment="1">
      <alignment horizontal="left"/>
    </xf>
    <xf numFmtId="38" fontId="14" fillId="0" borderId="0" xfId="28" applyNumberFormat="1" applyFont="1" applyFill="1" applyAlignment="1">
      <alignment horizontal="right"/>
    </xf>
    <xf numFmtId="0" fontId="14" fillId="0" borderId="0" xfId="0" applyFont="1" applyAlignment="1">
      <alignment vertical="top"/>
    </xf>
    <xf numFmtId="165" fontId="8" fillId="0" borderId="0" xfId="28" applyNumberFormat="1" applyFont="1" applyAlignment="1">
      <alignment horizontal="left"/>
    </xf>
    <xf numFmtId="43" fontId="4" fillId="0" borderId="0" xfId="28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26" fillId="0" borderId="0" xfId="49" applyFont="1" applyFill="1" applyAlignment="1">
      <alignment horizontal="right"/>
    </xf>
    <xf numFmtId="0" fontId="5" fillId="0" borderId="0" xfId="49" applyFont="1" applyFill="1" applyAlignment="1">
      <alignment horizontal="center"/>
    </xf>
    <xf numFmtId="0" fontId="0" fillId="19" borderId="0" xfId="0" applyFill="1"/>
    <xf numFmtId="0" fontId="0" fillId="19" borderId="10" xfId="0" applyFill="1" applyBorder="1"/>
    <xf numFmtId="0" fontId="0" fillId="19" borderId="0" xfId="0" applyFill="1" applyBorder="1"/>
    <xf numFmtId="0" fontId="4" fillId="19" borderId="0" xfId="0" applyFont="1" applyFill="1"/>
    <xf numFmtId="165" fontId="4" fillId="19" borderId="0" xfId="28" applyNumberFormat="1" applyFill="1"/>
    <xf numFmtId="0" fontId="13" fillId="0" borderId="0" xfId="49" applyFont="1" applyFill="1" applyBorder="1" applyAlignment="1">
      <alignment horizontal="right"/>
    </xf>
    <xf numFmtId="0" fontId="5" fillId="19" borderId="0" xfId="49" applyFont="1" applyFill="1" applyAlignment="1">
      <alignment horizontal="left"/>
    </xf>
    <xf numFmtId="0" fontId="4" fillId="19" borderId="0" xfId="49" applyFill="1"/>
    <xf numFmtId="165" fontId="4" fillId="19" borderId="0" xfId="31" applyNumberFormat="1" applyFill="1"/>
    <xf numFmtId="0" fontId="11" fillId="19" borderId="0" xfId="49" applyFont="1" applyFill="1" applyAlignment="1"/>
    <xf numFmtId="0" fontId="4" fillId="19" borderId="0" xfId="49" applyFill="1" applyAlignment="1">
      <alignment horizontal="centerContinuous"/>
    </xf>
    <xf numFmtId="0" fontId="4" fillId="19" borderId="10" xfId="49" applyFill="1" applyBorder="1"/>
    <xf numFmtId="0" fontId="13" fillId="19" borderId="10" xfId="49" applyFont="1" applyFill="1" applyBorder="1" applyAlignment="1">
      <alignment horizontal="right"/>
    </xf>
    <xf numFmtId="0" fontId="4" fillId="19" borderId="0" xfId="49" applyFont="1" applyFill="1" applyBorder="1"/>
    <xf numFmtId="0" fontId="3" fillId="19" borderId="11" xfId="49" applyFont="1" applyFill="1" applyBorder="1" applyAlignment="1">
      <alignment horizontal="right"/>
    </xf>
    <xf numFmtId="0" fontId="3" fillId="19" borderId="11" xfId="49" applyFont="1" applyFill="1" applyBorder="1" applyAlignment="1">
      <alignment horizontal="center"/>
    </xf>
    <xf numFmtId="0" fontId="7" fillId="19" borderId="10" xfId="49" applyFont="1" applyFill="1" applyBorder="1"/>
    <xf numFmtId="0" fontId="7" fillId="19" borderId="11" xfId="49" applyFont="1" applyFill="1" applyBorder="1"/>
    <xf numFmtId="0" fontId="17" fillId="19" borderId="0" xfId="49" applyFont="1" applyFill="1" applyAlignment="1"/>
    <xf numFmtId="0" fontId="4" fillId="19" borderId="0" xfId="49" applyFont="1" applyFill="1"/>
    <xf numFmtId="165" fontId="4" fillId="19" borderId="0" xfId="31" applyNumberFormat="1" applyFont="1" applyFill="1"/>
    <xf numFmtId="0" fontId="3" fillId="19" borderId="0" xfId="49" applyFont="1" applyFill="1" applyAlignment="1"/>
    <xf numFmtId="0" fontId="7" fillId="19" borderId="0" xfId="49" applyFont="1" applyFill="1"/>
    <xf numFmtId="0" fontId="3" fillId="19" borderId="0" xfId="49" applyFont="1" applyFill="1" applyAlignment="1">
      <alignment horizontal="left"/>
    </xf>
    <xf numFmtId="165" fontId="3" fillId="19" borderId="0" xfId="31" applyNumberFormat="1" applyFont="1" applyFill="1"/>
    <xf numFmtId="164" fontId="3" fillId="19" borderId="0" xfId="28" applyNumberFormat="1" applyFont="1" applyFill="1"/>
    <xf numFmtId="164" fontId="3" fillId="19" borderId="0" xfId="31" applyNumberFormat="1" applyFont="1" applyFill="1"/>
    <xf numFmtId="0" fontId="14" fillId="19" borderId="0" xfId="49" applyFont="1" applyFill="1" applyAlignment="1">
      <alignment horizontal="right"/>
    </xf>
    <xf numFmtId="164" fontId="7" fillId="19" borderId="0" xfId="28" applyNumberFormat="1" applyFont="1" applyFill="1"/>
    <xf numFmtId="164" fontId="7" fillId="19" borderId="0" xfId="49" applyNumberFormat="1" applyFont="1" applyFill="1" applyAlignment="1">
      <alignment horizontal="right"/>
    </xf>
    <xf numFmtId="0" fontId="4" fillId="19" borderId="0" xfId="49" applyFont="1" applyFill="1" applyAlignment="1">
      <alignment horizontal="left" indent="1"/>
    </xf>
    <xf numFmtId="164" fontId="4" fillId="19" borderId="0" xfId="31" applyNumberFormat="1" applyFont="1" applyFill="1"/>
    <xf numFmtId="164" fontId="14" fillId="19" borderId="0" xfId="49" applyNumberFormat="1" applyFont="1" applyFill="1" applyAlignment="1">
      <alignment horizontal="right"/>
    </xf>
    <xf numFmtId="164" fontId="25" fillId="19" borderId="0" xfId="49" applyNumberFormat="1" applyFont="1" applyFill="1" applyAlignment="1">
      <alignment horizontal="right"/>
    </xf>
    <xf numFmtId="164" fontId="4" fillId="19" borderId="0" xfId="31" applyNumberFormat="1" applyFont="1" applyFill="1" applyAlignment="1">
      <alignment horizontal="right"/>
    </xf>
    <xf numFmtId="164" fontId="29" fillId="19" borderId="0" xfId="28" applyNumberFormat="1" applyFont="1" applyFill="1"/>
    <xf numFmtId="164" fontId="4" fillId="19" borderId="0" xfId="28" applyNumberFormat="1" applyFill="1"/>
    <xf numFmtId="164" fontId="7" fillId="19" borderId="0" xfId="31" applyNumberFormat="1" applyFont="1" applyFill="1"/>
    <xf numFmtId="165" fontId="7" fillId="19" borderId="0" xfId="31" applyNumberFormat="1" applyFont="1" applyFill="1"/>
    <xf numFmtId="164" fontId="7" fillId="19" borderId="0" xfId="31" applyNumberFormat="1" applyFont="1" applyFill="1" applyAlignment="1">
      <alignment horizontal="right"/>
    </xf>
    <xf numFmtId="164" fontId="24" fillId="19" borderId="0" xfId="31" applyNumberFormat="1" applyFont="1" applyFill="1" applyAlignment="1">
      <alignment horizontal="right"/>
    </xf>
    <xf numFmtId="0" fontId="4" fillId="19" borderId="0" xfId="49" applyFont="1" applyFill="1" applyAlignment="1">
      <alignment horizontal="left" indent="2"/>
    </xf>
    <xf numFmtId="164" fontId="29" fillId="19" borderId="0" xfId="31" applyNumberFormat="1" applyFont="1" applyFill="1"/>
    <xf numFmtId="165" fontId="4" fillId="19" borderId="0" xfId="31" applyNumberFormat="1" applyFont="1" applyFill="1" applyAlignment="1">
      <alignment horizontal="right"/>
    </xf>
    <xf numFmtId="164" fontId="29" fillId="19" borderId="0" xfId="31" applyNumberFormat="1" applyFont="1" applyFill="1" applyAlignment="1">
      <alignment horizontal="center"/>
    </xf>
    <xf numFmtId="164" fontId="4" fillId="19" borderId="0" xfId="28" applyNumberFormat="1" applyFill="1" applyAlignment="1">
      <alignment horizontal="left"/>
    </xf>
    <xf numFmtId="165" fontId="14" fillId="19" borderId="0" xfId="31" applyNumberFormat="1" applyFont="1" applyFill="1" applyAlignment="1">
      <alignment horizontal="right"/>
    </xf>
    <xf numFmtId="169" fontId="8" fillId="19" borderId="0" xfId="49" applyNumberFormat="1" applyFont="1" applyFill="1" applyAlignment="1">
      <alignment horizontal="right"/>
    </xf>
    <xf numFmtId="164" fontId="29" fillId="19" borderId="0" xfId="31" applyNumberFormat="1" applyFont="1" applyFill="1" applyAlignment="1">
      <alignment horizontal="right"/>
    </xf>
    <xf numFmtId="164" fontId="50" fillId="19" borderId="0" xfId="28" applyNumberFormat="1" applyFont="1" applyFill="1"/>
    <xf numFmtId="0" fontId="4" fillId="19" borderId="0" xfId="49" applyFont="1" applyFill="1" applyAlignment="1">
      <alignment horizontal="right"/>
    </xf>
    <xf numFmtId="165" fontId="18" fillId="19" borderId="0" xfId="31" applyNumberFormat="1" applyFont="1" applyFill="1"/>
    <xf numFmtId="0" fontId="18" fillId="19" borderId="0" xfId="49" applyFont="1" applyFill="1"/>
    <xf numFmtId="0" fontId="18" fillId="19" borderId="0" xfId="49" applyFont="1" applyFill="1" applyAlignment="1">
      <alignment horizontal="right"/>
    </xf>
    <xf numFmtId="165" fontId="18" fillId="19" borderId="0" xfId="31" applyNumberFormat="1" applyFont="1" applyFill="1" applyAlignment="1">
      <alignment horizontal="right"/>
    </xf>
    <xf numFmtId="0" fontId="29" fillId="19" borderId="0" xfId="49" applyFont="1" applyFill="1"/>
    <xf numFmtId="164" fontId="3" fillId="19" borderId="0" xfId="31" applyNumberFormat="1" applyFont="1" applyFill="1" applyAlignment="1">
      <alignment horizontal="right"/>
    </xf>
    <xf numFmtId="43" fontId="7" fillId="19" borderId="0" xfId="28" applyFont="1" applyFill="1"/>
    <xf numFmtId="164" fontId="25" fillId="19" borderId="0" xfId="31" applyNumberFormat="1" applyFont="1" applyFill="1" applyAlignment="1">
      <alignment horizontal="right"/>
    </xf>
    <xf numFmtId="164" fontId="4" fillId="19" borderId="0" xfId="28" applyNumberFormat="1" applyFont="1" applyFill="1"/>
    <xf numFmtId="170" fontId="7" fillId="19" borderId="0" xfId="31" applyNumberFormat="1" applyFont="1" applyFill="1" applyAlignment="1">
      <alignment horizontal="right"/>
    </xf>
    <xf numFmtId="170" fontId="24" fillId="19" borderId="0" xfId="31" applyNumberFormat="1" applyFont="1" applyFill="1" applyAlignment="1">
      <alignment horizontal="right"/>
    </xf>
    <xf numFmtId="170" fontId="7" fillId="19" borderId="0" xfId="28" applyNumberFormat="1" applyFont="1" applyFill="1"/>
    <xf numFmtId="165" fontId="3" fillId="19" borderId="0" xfId="31" applyNumberFormat="1" applyFont="1" applyFill="1" applyAlignment="1">
      <alignment horizontal="right"/>
    </xf>
    <xf numFmtId="170" fontId="4" fillId="19" borderId="0" xfId="31" applyNumberFormat="1" applyFont="1" applyFill="1" applyAlignment="1">
      <alignment horizontal="right"/>
    </xf>
    <xf numFmtId="170" fontId="29" fillId="19" borderId="0" xfId="31" applyNumberFormat="1" applyFont="1" applyFill="1"/>
    <xf numFmtId="170" fontId="4" fillId="19" borderId="0" xfId="28" applyNumberFormat="1" applyFill="1"/>
    <xf numFmtId="170" fontId="29" fillId="19" borderId="0" xfId="31" applyNumberFormat="1" applyFont="1" applyFill="1" applyAlignment="1">
      <alignment horizontal="right"/>
    </xf>
    <xf numFmtId="170" fontId="4" fillId="19" borderId="0" xfId="49" applyNumberFormat="1" applyFill="1"/>
    <xf numFmtId="165" fontId="3" fillId="19" borderId="0" xfId="31" applyNumberFormat="1" applyFont="1" applyFill="1" applyAlignment="1">
      <alignment horizontal="center"/>
    </xf>
    <xf numFmtId="0" fontId="4" fillId="19" borderId="0" xfId="49" applyFont="1" applyFill="1" applyAlignment="1">
      <alignment horizontal="left" wrapText="1" indent="2"/>
    </xf>
    <xf numFmtId="170" fontId="14" fillId="19" borderId="0" xfId="49" applyNumberFormat="1" applyFont="1" applyFill="1" applyAlignment="1">
      <alignment horizontal="right"/>
    </xf>
    <xf numFmtId="0" fontId="4" fillId="19" borderId="0" xfId="49" applyFont="1" applyFill="1" applyAlignment="1">
      <alignment horizontal="left" indent="3"/>
    </xf>
    <xf numFmtId="165" fontId="19" fillId="19" borderId="0" xfId="31" applyNumberFormat="1" applyFont="1" applyFill="1" applyAlignment="1">
      <alignment horizontal="right"/>
    </xf>
    <xf numFmtId="170" fontId="4" fillId="19" borderId="0" xfId="49" applyNumberFormat="1" applyFont="1" applyFill="1" applyAlignment="1">
      <alignment horizontal="right"/>
    </xf>
    <xf numFmtId="170" fontId="29" fillId="19" borderId="0" xfId="49" applyNumberFormat="1" applyFont="1" applyFill="1"/>
    <xf numFmtId="164" fontId="4" fillId="19" borderId="0" xfId="49" applyNumberFormat="1" applyFont="1" applyFill="1" applyAlignment="1">
      <alignment horizontal="right"/>
    </xf>
    <xf numFmtId="49" fontId="4" fillId="19" borderId="0" xfId="49" applyNumberFormat="1" applyFont="1" applyFill="1" applyAlignment="1">
      <alignment horizontal="right"/>
    </xf>
    <xf numFmtId="169" fontId="24" fillId="19" borderId="0" xfId="49" applyNumberFormat="1" applyFont="1" applyFill="1" applyAlignment="1">
      <alignment horizontal="right"/>
    </xf>
    <xf numFmtId="170" fontId="24" fillId="19" borderId="0" xfId="49" applyNumberFormat="1" applyFont="1" applyFill="1" applyAlignment="1">
      <alignment horizontal="right"/>
    </xf>
    <xf numFmtId="170" fontId="7" fillId="19" borderId="0" xfId="0" applyNumberFormat="1" applyFont="1" applyFill="1"/>
    <xf numFmtId="170" fontId="7" fillId="19" borderId="0" xfId="49" applyNumberFormat="1" applyFont="1" applyFill="1"/>
    <xf numFmtId="170" fontId="3" fillId="19" borderId="0" xfId="49" applyNumberFormat="1" applyFont="1" applyFill="1" applyAlignment="1">
      <alignment horizontal="right"/>
    </xf>
    <xf numFmtId="170" fontId="3" fillId="19" borderId="0" xfId="31" applyNumberFormat="1" applyFont="1" applyFill="1" applyAlignment="1">
      <alignment horizontal="right"/>
    </xf>
    <xf numFmtId="167" fontId="4" fillId="19" borderId="0" xfId="49" applyNumberFormat="1" applyFont="1" applyFill="1" applyAlignment="1">
      <alignment horizontal="right"/>
    </xf>
    <xf numFmtId="170" fontId="30" fillId="19" borderId="0" xfId="49" applyNumberFormat="1" applyFont="1" applyFill="1" applyAlignment="1">
      <alignment horizontal="right"/>
    </xf>
    <xf numFmtId="170" fontId="25" fillId="19" borderId="0" xfId="31" applyNumberFormat="1" applyFont="1" applyFill="1" applyAlignment="1">
      <alignment horizontal="right"/>
    </xf>
    <xf numFmtId="0" fontId="3" fillId="19" borderId="10" xfId="49" applyFont="1" applyFill="1" applyBorder="1" applyAlignment="1">
      <alignment horizontal="left"/>
    </xf>
    <xf numFmtId="165" fontId="3" fillId="19" borderId="10" xfId="31" applyNumberFormat="1" applyFont="1" applyFill="1" applyBorder="1"/>
    <xf numFmtId="164" fontId="3" fillId="19" borderId="10" xfId="31" applyNumberFormat="1" applyFont="1" applyFill="1" applyBorder="1"/>
    <xf numFmtId="0" fontId="14" fillId="19" borderId="10" xfId="49" applyFont="1" applyFill="1" applyBorder="1" applyAlignment="1">
      <alignment horizontal="right"/>
    </xf>
    <xf numFmtId="170" fontId="14" fillId="19" borderId="10" xfId="49" applyNumberFormat="1" applyFont="1" applyFill="1" applyBorder="1" applyAlignment="1">
      <alignment horizontal="right"/>
    </xf>
    <xf numFmtId="170" fontId="4" fillId="19" borderId="10" xfId="49" applyNumberFormat="1" applyFill="1" applyBorder="1"/>
    <xf numFmtId="0" fontId="3" fillId="19" borderId="0" xfId="49" applyFont="1" applyFill="1" applyAlignment="1">
      <alignment horizontal="right"/>
    </xf>
    <xf numFmtId="0" fontId="4" fillId="19" borderId="0" xfId="49" applyFont="1" applyFill="1" applyAlignment="1">
      <alignment horizontal="center"/>
    </xf>
    <xf numFmtId="170" fontId="4" fillId="19" borderId="0" xfId="49" applyNumberFormat="1" applyFont="1" applyFill="1" applyAlignment="1">
      <alignment horizontal="center"/>
    </xf>
    <xf numFmtId="0" fontId="5" fillId="19" borderId="0" xfId="49" applyFont="1" applyFill="1"/>
    <xf numFmtId="0" fontId="17" fillId="19" borderId="0" xfId="49" applyFont="1" applyFill="1" applyBorder="1" applyAlignment="1">
      <alignment horizontal="left"/>
    </xf>
    <xf numFmtId="0" fontId="4" fillId="19" borderId="0" xfId="49" applyFont="1" applyFill="1" applyBorder="1" applyAlignment="1">
      <alignment horizontal="centerContinuous"/>
    </xf>
    <xf numFmtId="165" fontId="4" fillId="19" borderId="0" xfId="31" applyNumberFormat="1" applyFont="1" applyFill="1" applyBorder="1"/>
    <xf numFmtId="0" fontId="3" fillId="19" borderId="0" xfId="49" applyFont="1" applyFill="1" applyBorder="1" applyAlignment="1">
      <alignment horizontal="left"/>
    </xf>
    <xf numFmtId="165" fontId="3" fillId="19" borderId="0" xfId="31" applyNumberFormat="1" applyFont="1" applyFill="1" applyBorder="1"/>
    <xf numFmtId="0" fontId="14" fillId="19" borderId="0" xfId="49" applyFont="1" applyFill="1" applyBorder="1" applyAlignment="1">
      <alignment horizontal="right"/>
    </xf>
    <xf numFmtId="164" fontId="3" fillId="19" borderId="0" xfId="31" applyNumberFormat="1" applyFont="1" applyFill="1" applyBorder="1"/>
    <xf numFmtId="169" fontId="3" fillId="19" borderId="0" xfId="31" applyNumberFormat="1" applyFont="1" applyFill="1" applyBorder="1"/>
    <xf numFmtId="170" fontId="3" fillId="19" borderId="0" xfId="31" applyNumberFormat="1" applyFont="1" applyFill="1" applyBorder="1"/>
    <xf numFmtId="0" fontId="3" fillId="19" borderId="0" xfId="49" applyFont="1" applyFill="1" applyBorder="1" applyAlignment="1">
      <alignment horizontal="centerContinuous"/>
    </xf>
    <xf numFmtId="0" fontId="3" fillId="19" borderId="0" xfId="49" applyFont="1" applyFill="1" applyBorder="1"/>
    <xf numFmtId="0" fontId="3" fillId="19" borderId="0" xfId="49" applyFont="1" applyFill="1"/>
    <xf numFmtId="169" fontId="7" fillId="19" borderId="0" xfId="49" applyNumberFormat="1" applyFont="1" applyFill="1" applyAlignment="1">
      <alignment horizontal="right"/>
    </xf>
    <xf numFmtId="170" fontId="7" fillId="19" borderId="0" xfId="49" applyNumberFormat="1" applyFont="1" applyFill="1" applyAlignment="1">
      <alignment horizontal="right"/>
    </xf>
    <xf numFmtId="170" fontId="31" fillId="19" borderId="0" xfId="49" applyNumberFormat="1" applyFont="1" applyFill="1" applyAlignment="1">
      <alignment horizontal="right"/>
    </xf>
    <xf numFmtId="169" fontId="4" fillId="19" borderId="0" xfId="49" applyNumberFormat="1" applyFill="1" applyAlignment="1">
      <alignment horizontal="right"/>
    </xf>
    <xf numFmtId="170" fontId="4" fillId="19" borderId="0" xfId="49" applyNumberFormat="1" applyFill="1" applyAlignment="1">
      <alignment horizontal="right"/>
    </xf>
    <xf numFmtId="170" fontId="31" fillId="19" borderId="0" xfId="49" applyNumberFormat="1" applyFont="1" applyFill="1"/>
    <xf numFmtId="164" fontId="3" fillId="19" borderId="0" xfId="49" applyNumberFormat="1" applyFont="1" applyFill="1"/>
    <xf numFmtId="0" fontId="4" fillId="19" borderId="10" xfId="49" applyFont="1" applyFill="1" applyBorder="1"/>
    <xf numFmtId="164" fontId="4" fillId="19" borderId="10" xfId="49" applyNumberFormat="1" applyFont="1" applyFill="1" applyBorder="1" applyAlignment="1">
      <alignment horizontal="center"/>
    </xf>
    <xf numFmtId="169" fontId="4" fillId="19" borderId="10" xfId="49" applyNumberFormat="1" applyFont="1" applyFill="1" applyBorder="1" applyAlignment="1">
      <alignment horizontal="center"/>
    </xf>
    <xf numFmtId="170" fontId="4" fillId="19" borderId="10" xfId="49" applyNumberFormat="1" applyFont="1" applyFill="1" applyBorder="1" applyAlignment="1">
      <alignment horizontal="center"/>
    </xf>
    <xf numFmtId="170" fontId="4" fillId="19" borderId="10" xfId="49" applyNumberFormat="1" applyFont="1" applyFill="1" applyBorder="1"/>
    <xf numFmtId="0" fontId="4" fillId="19" borderId="0" xfId="49" applyFont="1" applyFill="1" applyAlignment="1">
      <alignment horizontal="left"/>
    </xf>
    <xf numFmtId="165" fontId="4" fillId="0" borderId="0" xfId="28" applyNumberFormat="1" applyFont="1" applyAlignment="1">
      <alignment horizontal="right"/>
    </xf>
    <xf numFmtId="165" fontId="7" fillId="19" borderId="0" xfId="28" applyNumberFormat="1" applyFont="1" applyFill="1" applyBorder="1"/>
    <xf numFmtId="0" fontId="5" fillId="19" borderId="0" xfId="0" applyFont="1" applyFill="1"/>
    <xf numFmtId="165" fontId="4" fillId="19" borderId="10" xfId="28" applyNumberFormat="1" applyFill="1" applyBorder="1"/>
    <xf numFmtId="165" fontId="4" fillId="19" borderId="0" xfId="28" applyNumberFormat="1" applyFill="1" applyBorder="1"/>
    <xf numFmtId="0" fontId="5" fillId="19" borderId="0" xfId="50" applyFont="1" applyFill="1"/>
    <xf numFmtId="0" fontId="4" fillId="19" borderId="0" xfId="50" applyFill="1"/>
    <xf numFmtId="49" fontId="4" fillId="19" borderId="10" xfId="50" applyNumberFormat="1" applyFont="1" applyFill="1" applyBorder="1"/>
    <xf numFmtId="49" fontId="4" fillId="19" borderId="0" xfId="50" applyNumberFormat="1" applyFont="1" applyFill="1" applyBorder="1"/>
    <xf numFmtId="0" fontId="7" fillId="19" borderId="13" xfId="28" applyNumberFormat="1" applyFont="1" applyFill="1" applyBorder="1" applyAlignment="1">
      <alignment horizontal="center"/>
    </xf>
    <xf numFmtId="0" fontId="7" fillId="19" borderId="11" xfId="28" applyNumberFormat="1" applyFont="1" applyFill="1" applyBorder="1" applyAlignment="1">
      <alignment horizontal="centerContinuous"/>
    </xf>
    <xf numFmtId="165" fontId="7" fillId="19" borderId="11" xfId="28" applyNumberFormat="1" applyFont="1" applyFill="1" applyBorder="1" applyAlignment="1">
      <alignment horizontal="centerContinuous"/>
    </xf>
    <xf numFmtId="0" fontId="7" fillId="19" borderId="11" xfId="28" applyNumberFormat="1" applyFont="1" applyFill="1" applyBorder="1" applyAlignment="1">
      <alignment horizontal="center"/>
    </xf>
    <xf numFmtId="0" fontId="7" fillId="19" borderId="10" xfId="50" applyFont="1" applyFill="1" applyBorder="1" applyAlignment="1">
      <alignment horizontal="left"/>
    </xf>
    <xf numFmtId="0" fontId="4" fillId="19" borderId="10" xfId="50" applyFill="1" applyBorder="1"/>
    <xf numFmtId="165" fontId="3" fillId="19" borderId="10" xfId="28" applyNumberFormat="1" applyFont="1" applyFill="1" applyBorder="1" applyAlignment="1">
      <alignment horizontal="right"/>
    </xf>
    <xf numFmtId="0" fontId="7" fillId="19" borderId="0" xfId="50" applyFont="1" applyFill="1" applyBorder="1" applyAlignment="1">
      <alignment horizontal="left"/>
    </xf>
    <xf numFmtId="165" fontId="3" fillId="19" borderId="0" xfId="28" applyNumberFormat="1" applyFont="1" applyFill="1" applyBorder="1"/>
    <xf numFmtId="49" fontId="7" fillId="19" borderId="0" xfId="50" applyNumberFormat="1" applyFont="1" applyFill="1" applyBorder="1"/>
    <xf numFmtId="0" fontId="4" fillId="19" borderId="0" xfId="50" applyFill="1" applyBorder="1"/>
    <xf numFmtId="0" fontId="7" fillId="19" borderId="0" xfId="50" applyFont="1" applyFill="1"/>
    <xf numFmtId="0" fontId="8" fillId="19" borderId="0" xfId="50" applyFont="1" applyFill="1"/>
    <xf numFmtId="0" fontId="4" fillId="19" borderId="0" xfId="50" applyFont="1" applyFill="1"/>
    <xf numFmtId="0" fontId="0" fillId="19" borderId="14" xfId="0" applyFill="1" applyBorder="1"/>
    <xf numFmtId="0" fontId="57" fillId="19" borderId="13" xfId="0" applyFon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15" xfId="0" applyFill="1" applyBorder="1"/>
    <xf numFmtId="3" fontId="0" fillId="19" borderId="0" xfId="0" applyNumberFormat="1" applyFill="1" applyBorder="1" applyAlignment="1">
      <alignment horizontal="center"/>
    </xf>
    <xf numFmtId="0" fontId="57" fillId="19" borderId="16" xfId="0" applyFont="1" applyFill="1" applyBorder="1"/>
    <xf numFmtId="3" fontId="57" fillId="19" borderId="10" xfId="0" applyNumberFormat="1" applyFont="1" applyFill="1" applyBorder="1" applyAlignment="1">
      <alignment horizontal="center"/>
    </xf>
    <xf numFmtId="3" fontId="0" fillId="19" borderId="10" xfId="0" applyNumberFormat="1" applyFill="1" applyBorder="1" applyAlignment="1">
      <alignment horizontal="center"/>
    </xf>
    <xf numFmtId="0" fontId="57" fillId="19" borderId="13" xfId="0" applyFont="1" applyFill="1" applyBorder="1"/>
    <xf numFmtId="3" fontId="0" fillId="19" borderId="17" xfId="0" applyNumberFormat="1" applyFill="1" applyBorder="1" applyAlignment="1">
      <alignment horizontal="center"/>
    </xf>
    <xf numFmtId="0" fontId="57" fillId="19" borderId="0" xfId="0" applyFont="1" applyFill="1" applyBorder="1" applyAlignment="1">
      <alignment horizontal="center"/>
    </xf>
    <xf numFmtId="3" fontId="57" fillId="19" borderId="0" xfId="0" applyNumberFormat="1" applyFont="1" applyFill="1" applyBorder="1" applyAlignment="1">
      <alignment horizontal="center"/>
    </xf>
    <xf numFmtId="3" fontId="0" fillId="19" borderId="18" xfId="0" applyNumberFormat="1" applyFill="1" applyBorder="1" applyAlignment="1">
      <alignment horizontal="center"/>
    </xf>
    <xf numFmtId="3" fontId="0" fillId="19" borderId="13" xfId="0" applyNumberFormat="1" applyFill="1" applyBorder="1" applyAlignment="1">
      <alignment horizontal="center"/>
    </xf>
    <xf numFmtId="3" fontId="57" fillId="19" borderId="19" xfId="0" applyNumberFormat="1" applyFont="1" applyFill="1" applyBorder="1" applyAlignment="1">
      <alignment horizontal="center"/>
    </xf>
    <xf numFmtId="0" fontId="0" fillId="19" borderId="13" xfId="0" applyFill="1" applyBorder="1"/>
    <xf numFmtId="0" fontId="57" fillId="19" borderId="0" xfId="0" applyFont="1" applyFill="1" applyBorder="1"/>
    <xf numFmtId="0" fontId="57" fillId="19" borderId="10" xfId="0" applyFont="1" applyFill="1" applyBorder="1"/>
    <xf numFmtId="165" fontId="4" fillId="19" borderId="10" xfId="28" applyNumberFormat="1" applyFill="1" applyBorder="1"/>
    <xf numFmtId="0" fontId="64" fillId="19" borderId="0" xfId="0" applyFont="1" applyFill="1" applyBorder="1" applyAlignment="1"/>
    <xf numFmtId="0" fontId="4" fillId="0" borderId="0" xfId="50" applyFill="1"/>
    <xf numFmtId="49" fontId="3" fillId="0" borderId="0" xfId="50" applyNumberFormat="1" applyFont="1" applyFill="1" applyBorder="1"/>
    <xf numFmtId="0" fontId="5" fillId="0" borderId="0" xfId="50" applyFont="1" applyFill="1"/>
    <xf numFmtId="0" fontId="4" fillId="0" borderId="0" xfId="50" applyFont="1" applyFill="1"/>
    <xf numFmtId="0" fontId="0" fillId="0" borderId="0" xfId="0" applyFill="1" applyAlignment="1">
      <alignment horizontal="center"/>
    </xf>
    <xf numFmtId="0" fontId="54" fillId="0" borderId="0" xfId="0" applyFont="1" applyFill="1"/>
    <xf numFmtId="0" fontId="54" fillId="0" borderId="0" xfId="0" applyFont="1" applyFill="1" applyAlignment="1">
      <alignment horizontal="right"/>
    </xf>
    <xf numFmtId="0" fontId="11" fillId="0" borderId="0" xfId="0" applyFont="1" applyFill="1" applyAlignment="1"/>
    <xf numFmtId="0" fontId="11" fillId="0" borderId="0" xfId="0" applyFont="1" applyFill="1" applyAlignment="1">
      <alignment horizontal="left"/>
    </xf>
    <xf numFmtId="0" fontId="11" fillId="0" borderId="11" xfId="0" applyFont="1" applyFill="1" applyBorder="1"/>
    <xf numFmtId="0" fontId="54" fillId="0" borderId="0" xfId="0" applyFont="1" applyFill="1" applyBorder="1"/>
    <xf numFmtId="0" fontId="11" fillId="0" borderId="0" xfId="0" applyFont="1" applyFill="1"/>
    <xf numFmtId="0" fontId="54" fillId="0" borderId="10" xfId="0" applyFont="1" applyFill="1" applyBorder="1"/>
    <xf numFmtId="0" fontId="54" fillId="0" borderId="0" xfId="0" applyFont="1" applyFill="1" applyAlignment="1"/>
    <xf numFmtId="0" fontId="11" fillId="0" borderId="11" xfId="0" applyFont="1" applyFill="1" applyBorder="1" applyAlignment="1">
      <alignment horizontal="center"/>
    </xf>
    <xf numFmtId="0" fontId="11" fillId="0" borderId="11" xfId="51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54" fillId="0" borderId="0" xfId="0" applyFont="1" applyFill="1" applyBorder="1" applyAlignment="1">
      <alignment horizontal="right"/>
    </xf>
    <xf numFmtId="0" fontId="54" fillId="0" borderId="0" xfId="51" applyFont="1" applyFill="1"/>
    <xf numFmtId="0" fontId="11" fillId="0" borderId="0" xfId="51" applyFont="1" applyFill="1"/>
    <xf numFmtId="0" fontId="11" fillId="0" borderId="0" xfId="0" applyFont="1" applyFill="1" applyBorder="1" applyAlignment="1">
      <alignment wrapText="1"/>
    </xf>
    <xf numFmtId="0" fontId="54" fillId="0" borderId="0" xfId="0" applyFont="1" applyFill="1" applyBorder="1" applyAlignment="1">
      <alignment wrapText="1"/>
    </xf>
    <xf numFmtId="0" fontId="54" fillId="0" borderId="10" xfId="51" applyFont="1" applyFill="1" applyBorder="1"/>
    <xf numFmtId="0" fontId="54" fillId="0" borderId="0" xfId="0" applyFont="1" applyFill="1" applyAlignment="1">
      <alignment horizontal="centerContinuous"/>
    </xf>
    <xf numFmtId="166" fontId="54" fillId="0" borderId="0" xfId="0" applyNumberFormat="1" applyFont="1" applyFill="1" applyAlignment="1"/>
    <xf numFmtId="0" fontId="54" fillId="0" borderId="0" xfId="0" applyFont="1" applyFill="1" applyAlignment="1">
      <alignment horizontal="center"/>
    </xf>
    <xf numFmtId="0" fontId="61" fillId="0" borderId="0" xfId="33" applyNumberFormat="1" applyFont="1" applyFill="1" applyBorder="1" applyAlignment="1">
      <alignment horizontal="right" wrapText="1"/>
    </xf>
    <xf numFmtId="0" fontId="61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11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44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44" applyFont="1" applyFill="1"/>
    <xf numFmtId="0" fontId="4" fillId="0" borderId="0" xfId="44" applyFont="1" applyFill="1" applyBorder="1" applyAlignment="1">
      <alignment horizontal="left"/>
    </xf>
    <xf numFmtId="165" fontId="52" fillId="0" borderId="0" xfId="29" applyNumberFormat="1" applyFont="1" applyFill="1" applyBorder="1" applyAlignment="1">
      <alignment horizontal="center"/>
    </xf>
    <xf numFmtId="0" fontId="4" fillId="0" borderId="0" xfId="44" applyFont="1" applyFill="1" applyBorder="1"/>
    <xf numFmtId="0" fontId="4" fillId="0" borderId="0" xfId="44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3" fillId="0" borderId="0" xfId="28" applyNumberFormat="1" applyFont="1" applyFill="1" applyBorder="1" applyAlignment="1">
      <alignment horizontal="center"/>
    </xf>
    <xf numFmtId="165" fontId="3" fillId="0" borderId="0" xfId="28" applyNumberFormat="1" applyFont="1" applyFill="1" applyBorder="1"/>
    <xf numFmtId="165" fontId="3" fillId="0" borderId="0" xfId="28" applyNumberFormat="1" applyFont="1" applyFill="1" applyBorder="1" applyAlignment="1">
      <alignment horizontal="right"/>
    </xf>
    <xf numFmtId="165" fontId="4" fillId="0" borderId="0" xfId="28" applyNumberFormat="1" applyFont="1" applyFill="1" applyBorder="1"/>
    <xf numFmtId="165" fontId="4" fillId="0" borderId="0" xfId="28" applyNumberFormat="1" applyFont="1" applyFill="1"/>
    <xf numFmtId="0" fontId="4" fillId="0" borderId="0" xfId="0" applyFont="1" applyFill="1" applyBorder="1" applyAlignment="1">
      <alignment horizontal="left"/>
    </xf>
    <xf numFmtId="165" fontId="4" fillId="0" borderId="0" xfId="28" applyNumberFormat="1" applyFont="1" applyFill="1" applyBorder="1" applyAlignment="1">
      <alignment horizontal="center"/>
    </xf>
    <xf numFmtId="165" fontId="4" fillId="0" borderId="0" xfId="28" applyNumberFormat="1" applyFont="1" applyFill="1" applyAlignment="1">
      <alignment horizontal="right"/>
    </xf>
    <xf numFmtId="165" fontId="4" fillId="0" borderId="0" xfId="0" applyNumberFormat="1" applyFont="1" applyFill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" fontId="4" fillId="0" borderId="0" xfId="44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44" applyFont="1" applyFill="1" applyAlignment="1">
      <alignment horizontal="center"/>
    </xf>
    <xf numFmtId="0" fontId="3" fillId="0" borderId="0" xfId="44" applyFont="1" applyFill="1" applyBorder="1" applyAlignment="1">
      <alignment horizontal="right"/>
    </xf>
    <xf numFmtId="0" fontId="4" fillId="0" borderId="0" xfId="44" applyFont="1" applyFill="1" applyBorder="1" applyAlignment="1">
      <alignment horizontal="right"/>
    </xf>
    <xf numFmtId="0" fontId="4" fillId="0" borderId="10" xfId="0" applyFont="1" applyFill="1" applyBorder="1"/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/>
    <xf numFmtId="0" fontId="4" fillId="0" borderId="0" xfId="0" applyFont="1" applyFill="1" applyAlignment="1"/>
    <xf numFmtId="0" fontId="58" fillId="0" borderId="0" xfId="46" applyFont="1" applyFill="1"/>
    <xf numFmtId="0" fontId="13" fillId="0" borderId="0" xfId="0" applyFont="1" applyFill="1"/>
    <xf numFmtId="0" fontId="51" fillId="0" borderId="0" xfId="46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51" fillId="0" borderId="0" xfId="46" applyFont="1" applyFill="1"/>
    <xf numFmtId="0" fontId="24" fillId="0" borderId="11" xfId="46" applyFont="1" applyFill="1" applyBorder="1"/>
    <xf numFmtId="0" fontId="24" fillId="0" borderId="11" xfId="46" applyFont="1" applyFill="1" applyBorder="1" applyAlignment="1">
      <alignment horizontal="right"/>
    </xf>
    <xf numFmtId="0" fontId="24" fillId="0" borderId="0" xfId="46" applyFont="1" applyFill="1" applyBorder="1"/>
    <xf numFmtId="0" fontId="24" fillId="0" borderId="0" xfId="46" applyFont="1" applyFill="1" applyBorder="1" applyAlignment="1">
      <alignment horizontal="right"/>
    </xf>
    <xf numFmtId="165" fontId="51" fillId="0" borderId="0" xfId="28" applyNumberFormat="1" applyFont="1" applyFill="1" applyBorder="1" applyAlignment="1">
      <alignment horizontal="right"/>
    </xf>
    <xf numFmtId="165" fontId="51" fillId="0" borderId="0" xfId="28" applyNumberFormat="1" applyFont="1" applyFill="1" applyBorder="1" applyAlignment="1"/>
    <xf numFmtId="0" fontId="4" fillId="0" borderId="0" xfId="44" applyFont="1" applyFill="1" applyBorder="1" applyAlignment="1">
      <alignment horizontal="left" indent="2"/>
    </xf>
    <xf numFmtId="165" fontId="52" fillId="0" borderId="0" xfId="28" applyNumberFormat="1" applyFont="1" applyFill="1" applyBorder="1" applyAlignment="1">
      <alignment horizontal="right"/>
    </xf>
    <xf numFmtId="165" fontId="52" fillId="0" borderId="0" xfId="28" applyNumberFormat="1" applyFont="1" applyFill="1" applyBorder="1" applyAlignment="1"/>
    <xf numFmtId="0" fontId="58" fillId="0" borderId="0" xfId="46" applyFont="1" applyFill="1" applyAlignment="1">
      <alignment horizontal="right"/>
    </xf>
    <xf numFmtId="0" fontId="4" fillId="0" borderId="0" xfId="0" applyFont="1" applyFill="1" applyBorder="1" applyAlignment="1">
      <alignment horizontal="left" indent="2"/>
    </xf>
    <xf numFmtId="0" fontId="59" fillId="0" borderId="0" xfId="46" applyFont="1" applyFill="1" applyBorder="1"/>
    <xf numFmtId="0" fontId="58" fillId="0" borderId="0" xfId="46" applyFont="1" applyFill="1" applyAlignment="1"/>
    <xf numFmtId="37" fontId="11" fillId="0" borderId="0" xfId="28" applyNumberFormat="1" applyFont="1" applyFill="1" applyAlignment="1">
      <alignment horizontal="right"/>
    </xf>
    <xf numFmtId="37" fontId="11" fillId="0" borderId="0" xfId="28" applyNumberFormat="1" applyFont="1" applyFill="1" applyAlignment="1"/>
    <xf numFmtId="0" fontId="71" fillId="0" borderId="0" xfId="46" applyFont="1" applyFill="1" applyAlignment="1">
      <alignment horizontal="right"/>
    </xf>
    <xf numFmtId="0" fontId="58" fillId="0" borderId="0" xfId="46" applyNumberFormat="1" applyFont="1" applyFill="1" applyAlignment="1"/>
    <xf numFmtId="0" fontId="54" fillId="0" borderId="0" xfId="46" applyFont="1" applyFill="1"/>
    <xf numFmtId="0" fontId="13" fillId="0" borderId="0" xfId="0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165" fontId="25" fillId="0" borderId="0" xfId="28" applyNumberFormat="1" applyFont="1" applyFill="1" applyBorder="1" applyAlignment="1">
      <alignment horizontal="right"/>
    </xf>
    <xf numFmtId="165" fontId="25" fillId="0" borderId="0" xfId="28" applyNumberFormat="1" applyFont="1" applyFill="1" applyBorder="1" applyAlignment="1"/>
    <xf numFmtId="0" fontId="59" fillId="0" borderId="10" xfId="46" applyFont="1" applyFill="1" applyBorder="1"/>
    <xf numFmtId="0" fontId="58" fillId="0" borderId="10" xfId="46" applyFont="1" applyFill="1" applyBorder="1" applyAlignment="1">
      <alignment horizontal="right"/>
    </xf>
    <xf numFmtId="0" fontId="58" fillId="0" borderId="10" xfId="46" applyFont="1" applyFill="1" applyBorder="1" applyAlignment="1"/>
    <xf numFmtId="165" fontId="25" fillId="0" borderId="0" xfId="28" applyNumberFormat="1" applyFont="1" applyFill="1" applyBorder="1"/>
    <xf numFmtId="0" fontId="58" fillId="0" borderId="0" xfId="46" applyFont="1" applyFill="1" applyAlignment="1">
      <alignment wrapText="1"/>
    </xf>
    <xf numFmtId="0" fontId="11" fillId="0" borderId="0" xfId="44" applyFont="1" applyFill="1" applyAlignment="1">
      <alignment horizontal="right"/>
    </xf>
    <xf numFmtId="0" fontId="5" fillId="0" borderId="0" xfId="0" applyFont="1" applyFill="1" applyAlignment="1"/>
    <xf numFmtId="0" fontId="61" fillId="0" borderId="0" xfId="46" applyFont="1" applyFill="1" applyAlignment="1">
      <alignment vertical="top"/>
    </xf>
    <xf numFmtId="0" fontId="59" fillId="0" borderId="0" xfId="46" applyNumberFormat="1" applyFont="1" applyFill="1" applyBorder="1" applyAlignment="1">
      <alignment horizontal="center" wrapText="1"/>
    </xf>
    <xf numFmtId="0" fontId="60" fillId="0" borderId="0" xfId="46" applyFont="1" applyFill="1" applyBorder="1" applyAlignment="1">
      <alignment horizontal="center" wrapText="1"/>
    </xf>
    <xf numFmtId="0" fontId="59" fillId="0" borderId="12" xfId="46" applyFont="1" applyFill="1" applyBorder="1"/>
    <xf numFmtId="165" fontId="59" fillId="0" borderId="12" xfId="28" applyNumberFormat="1" applyFont="1" applyFill="1" applyBorder="1"/>
    <xf numFmtId="165" fontId="60" fillId="0" borderId="12" xfId="28" applyNumberFormat="1" applyFont="1" applyFill="1" applyBorder="1"/>
    <xf numFmtId="0" fontId="60" fillId="0" borderId="12" xfId="46" applyFont="1" applyFill="1" applyBorder="1"/>
    <xf numFmtId="165" fontId="59" fillId="0" borderId="12" xfId="28" quotePrefix="1" applyNumberFormat="1" applyFont="1" applyFill="1" applyBorder="1"/>
    <xf numFmtId="0" fontId="59" fillId="0" borderId="0" xfId="46" applyFont="1" applyFill="1"/>
    <xf numFmtId="0" fontId="58" fillId="0" borderId="0" xfId="46" applyFont="1" applyFill="1" applyAlignment="1">
      <alignment horizontal="left"/>
    </xf>
    <xf numFmtId="0" fontId="58" fillId="0" borderId="0" xfId="46" applyFont="1" applyFill="1" applyAlignment="1">
      <alignment horizontal="center"/>
    </xf>
    <xf numFmtId="0" fontId="3" fillId="0" borderId="0" xfId="0" applyFont="1" applyFill="1"/>
    <xf numFmtId="0" fontId="20" fillId="0" borderId="0" xfId="0" applyFont="1" applyFill="1" applyAlignment="1">
      <alignment horizontal="right"/>
    </xf>
    <xf numFmtId="0" fontId="0" fillId="0" borderId="11" xfId="0" applyFill="1" applyBorder="1"/>
    <xf numFmtId="0" fontId="3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37" fontId="0" fillId="0" borderId="0" xfId="0" applyNumberFormat="1" applyFill="1" applyBorder="1"/>
    <xf numFmtId="37" fontId="4" fillId="0" borderId="0" xfId="28" applyNumberFormat="1" applyFont="1" applyFill="1" applyBorder="1"/>
    <xf numFmtId="37" fontId="3" fillId="0" borderId="0" xfId="28" applyNumberFormat="1" applyFont="1" applyFill="1" applyBorder="1"/>
    <xf numFmtId="37" fontId="3" fillId="0" borderId="0" xfId="0" applyNumberFormat="1" applyFont="1" applyFill="1" applyBorder="1"/>
    <xf numFmtId="0" fontId="13" fillId="0" borderId="0" xfId="0" applyFont="1" applyFill="1" applyBorder="1"/>
    <xf numFmtId="0" fontId="0" fillId="0" borderId="0" xfId="0" applyFill="1" applyAlignment="1">
      <alignment horizontal="centerContinuous"/>
    </xf>
    <xf numFmtId="39" fontId="0" fillId="0" borderId="0" xfId="0" applyNumberFormat="1" applyFill="1" applyBorder="1"/>
    <xf numFmtId="0" fontId="13" fillId="0" borderId="10" xfId="0" applyFont="1" applyFill="1" applyBorder="1"/>
    <xf numFmtId="39" fontId="0" fillId="0" borderId="10" xfId="0" applyNumberFormat="1" applyFill="1" applyBorder="1"/>
    <xf numFmtId="37" fontId="0" fillId="0" borderId="10" xfId="0" applyNumberFormat="1" applyFill="1" applyBorder="1"/>
    <xf numFmtId="165" fontId="4" fillId="0" borderId="0" xfId="28" applyNumberFormat="1" applyFont="1" applyFill="1" applyAlignment="1">
      <alignment horizontal="center"/>
    </xf>
    <xf numFmtId="165" fontId="3" fillId="0" borderId="0" xfId="28" applyNumberFormat="1" applyFont="1" applyFill="1" applyAlignment="1">
      <alignment horizontal="center"/>
    </xf>
    <xf numFmtId="165" fontId="4" fillId="0" borderId="10" xfId="28" applyNumberFormat="1" applyFont="1" applyFill="1" applyBorder="1" applyAlignment="1">
      <alignment horizontal="center"/>
    </xf>
    <xf numFmtId="37" fontId="4" fillId="0" borderId="0" xfId="0" applyNumberFormat="1" applyFont="1" applyFill="1" applyBorder="1"/>
    <xf numFmtId="0" fontId="0" fillId="0" borderId="0" xfId="0" applyFill="1" applyAlignment="1"/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top" wrapText="1"/>
    </xf>
    <xf numFmtId="0" fontId="60" fillId="0" borderId="12" xfId="46" applyFont="1" applyFill="1" applyBorder="1" applyAlignment="1">
      <alignment horizontal="center"/>
    </xf>
    <xf numFmtId="0" fontId="59" fillId="0" borderId="12" xfId="46" applyFont="1" applyFill="1" applyBorder="1" applyAlignment="1">
      <alignment horizontal="left" indent="2"/>
    </xf>
    <xf numFmtId="165" fontId="58" fillId="0" borderId="0" xfId="46" applyNumberFormat="1" applyFont="1" applyFill="1"/>
    <xf numFmtId="0" fontId="69" fillId="0" borderId="0" xfId="46" applyFont="1" applyFill="1"/>
    <xf numFmtId="37" fontId="60" fillId="0" borderId="12" xfId="28" applyNumberFormat="1" applyFont="1" applyFill="1" applyBorder="1"/>
    <xf numFmtId="165" fontId="59" fillId="0" borderId="12" xfId="28" applyNumberFormat="1" applyFont="1" applyFill="1" applyBorder="1" applyAlignment="1">
      <alignment horizontal="center"/>
    </xf>
    <xf numFmtId="0" fontId="59" fillId="0" borderId="0" xfId="46" applyFont="1" applyFill="1" applyAlignment="1">
      <alignment horizontal="left"/>
    </xf>
    <xf numFmtId="0" fontId="59" fillId="0" borderId="0" xfId="46" applyFont="1" applyFill="1" applyAlignment="1">
      <alignment horizontal="left" vertical="top" wrapText="1"/>
    </xf>
    <xf numFmtId="0" fontId="59" fillId="0" borderId="0" xfId="46" applyFont="1" applyFill="1" applyAlignment="1">
      <alignment horizontal="left" vertical="top"/>
    </xf>
    <xf numFmtId="0" fontId="61" fillId="0" borderId="0" xfId="46" applyFont="1" applyFill="1"/>
    <xf numFmtId="0" fontId="51" fillId="0" borderId="0" xfId="46" applyFont="1" applyFill="1" applyBorder="1"/>
    <xf numFmtId="0" fontId="62" fillId="0" borderId="0" xfId="46" applyFont="1" applyFill="1"/>
    <xf numFmtId="0" fontId="56" fillId="0" borderId="0" xfId="46" applyFill="1"/>
    <xf numFmtId="0" fontId="60" fillId="0" borderId="0" xfId="46" applyFont="1" applyFill="1" applyBorder="1" applyAlignment="1">
      <alignment horizontal="center"/>
    </xf>
    <xf numFmtId="0" fontId="58" fillId="0" borderId="0" xfId="46" applyFont="1" applyFill="1" applyBorder="1"/>
    <xf numFmtId="0" fontId="56" fillId="0" borderId="12" xfId="46" applyFill="1" applyBorder="1"/>
    <xf numFmtId="0" fontId="57" fillId="0" borderId="12" xfId="46" applyFont="1" applyFill="1" applyBorder="1" applyAlignment="1">
      <alignment horizontal="center" wrapText="1"/>
    </xf>
    <xf numFmtId="0" fontId="57" fillId="0" borderId="12" xfId="46" applyFont="1" applyFill="1" applyBorder="1" applyAlignment="1">
      <alignment horizontal="center"/>
    </xf>
    <xf numFmtId="165" fontId="2" fillId="0" borderId="12" xfId="28" applyNumberFormat="1" applyFont="1" applyFill="1" applyBorder="1"/>
    <xf numFmtId="165" fontId="57" fillId="0" borderId="12" xfId="28" applyNumberFormat="1" applyFont="1" applyFill="1" applyBorder="1"/>
    <xf numFmtId="0" fontId="56" fillId="0" borderId="0" xfId="46" applyFill="1" applyBorder="1"/>
    <xf numFmtId="0" fontId="57" fillId="0" borderId="0" xfId="46" applyFont="1" applyFill="1" applyBorder="1"/>
    <xf numFmtId="0" fontId="62" fillId="0" borderId="0" xfId="46" applyFont="1" applyFill="1" applyAlignment="1">
      <alignment horizontal="left"/>
    </xf>
    <xf numFmtId="0" fontId="57" fillId="0" borderId="0" xfId="46" applyFont="1" applyFill="1"/>
    <xf numFmtId="0" fontId="65" fillId="0" borderId="0" xfId="46" applyFont="1" applyFill="1" applyBorder="1"/>
    <xf numFmtId="0" fontId="63" fillId="0" borderId="0" xfId="46" applyFont="1" applyFill="1" applyBorder="1"/>
    <xf numFmtId="0" fontId="61" fillId="0" borderId="0" xfId="46" applyFont="1" applyFill="1" applyBorder="1"/>
    <xf numFmtId="0" fontId="60" fillId="0" borderId="0" xfId="46" applyFont="1" applyFill="1" applyBorder="1" applyAlignment="1"/>
    <xf numFmtId="0" fontId="61" fillId="0" borderId="0" xfId="46" applyFont="1" applyFill="1" applyAlignment="1">
      <alignment horizontal="center"/>
    </xf>
    <xf numFmtId="165" fontId="57" fillId="0" borderId="12" xfId="28" applyNumberFormat="1" applyFont="1" applyFill="1" applyBorder="1" applyAlignment="1"/>
    <xf numFmtId="165" fontId="2" fillId="0" borderId="12" xfId="28" applyNumberFormat="1" applyFont="1" applyFill="1" applyBorder="1" applyAlignment="1"/>
    <xf numFmtId="0" fontId="11" fillId="0" borderId="0" xfId="0" applyFont="1" applyFill="1" applyAlignment="1">
      <alignment horizontal="center"/>
    </xf>
    <xf numFmtId="0" fontId="11" fillId="0" borderId="11" xfId="0" applyFont="1" applyFill="1" applyBorder="1" applyAlignment="1">
      <alignment horizontal="right"/>
    </xf>
    <xf numFmtId="165" fontId="54" fillId="0" borderId="0" xfId="28" applyNumberFormat="1" applyFont="1" applyFill="1"/>
    <xf numFmtId="165" fontId="54" fillId="0" borderId="0" xfId="0" applyNumberFormat="1" applyFont="1" applyFill="1"/>
    <xf numFmtId="43" fontId="54" fillId="0" borderId="0" xfId="0" applyNumberFormat="1" applyFont="1" applyFill="1"/>
    <xf numFmtId="164" fontId="54" fillId="0" borderId="0" xfId="28" applyNumberFormat="1" applyFont="1" applyFill="1"/>
    <xf numFmtId="0" fontId="11" fillId="0" borderId="0" xfId="0" applyFont="1" applyFill="1" applyAlignment="1">
      <alignment horizontal="left" wrapText="1"/>
    </xf>
    <xf numFmtId="0" fontId="74" fillId="0" borderId="0" xfId="0" applyFont="1" applyFill="1"/>
    <xf numFmtId="167" fontId="54" fillId="0" borderId="0" xfId="0" applyNumberFormat="1" applyFont="1" applyFill="1"/>
    <xf numFmtId="165" fontId="54" fillId="0" borderId="0" xfId="28" applyNumberFormat="1" applyFont="1" applyFill="1" applyAlignment="1">
      <alignment horizontal="right"/>
    </xf>
    <xf numFmtId="164" fontId="54" fillId="0" borderId="0" xfId="28" applyNumberFormat="1" applyFont="1" applyFill="1" applyAlignment="1">
      <alignment horizontal="right"/>
    </xf>
    <xf numFmtId="1" fontId="54" fillId="0" borderId="0" xfId="0" applyNumberFormat="1" applyFont="1" applyFill="1"/>
    <xf numFmtId="0" fontId="74" fillId="0" borderId="0" xfId="0" applyFont="1" applyFill="1" applyAlignment="1">
      <alignment vertical="center"/>
    </xf>
    <xf numFmtId="0" fontId="74" fillId="0" borderId="0" xfId="0" applyFont="1" applyFill="1" applyBorder="1" applyAlignment="1">
      <alignment vertical="center"/>
    </xf>
    <xf numFmtId="165" fontId="54" fillId="0" borderId="10" xfId="28" applyNumberFormat="1" applyFont="1" applyFill="1" applyBorder="1"/>
    <xf numFmtId="0" fontId="75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53" fillId="0" borderId="0" xfId="0" applyFont="1" applyFill="1" applyAlignment="1">
      <alignment vertical="top"/>
    </xf>
    <xf numFmtId="0" fontId="54" fillId="0" borderId="0" xfId="0" applyFont="1" applyFill="1" applyAlignment="1">
      <alignment horizontal="left" wrapText="1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/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167" fontId="4" fillId="0" borderId="0" xfId="0" applyNumberFormat="1" applyFont="1" applyFill="1" applyBorder="1" applyAlignment="1">
      <alignment horizontal="center"/>
    </xf>
    <xf numFmtId="0" fontId="25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/>
    <xf numFmtId="167" fontId="4" fillId="0" borderId="0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 indent="1"/>
    </xf>
    <xf numFmtId="0" fontId="0" fillId="0" borderId="0" xfId="0" applyFill="1" applyAlignment="1">
      <alignment horizontal="right"/>
    </xf>
    <xf numFmtId="0" fontId="4" fillId="0" borderId="0" xfId="28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right"/>
    </xf>
    <xf numFmtId="0" fontId="5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4" fillId="0" borderId="10" xfId="50" applyNumberFormat="1" applyFont="1" applyFill="1" applyBorder="1"/>
    <xf numFmtId="49" fontId="4" fillId="0" borderId="0" xfId="50" applyNumberFormat="1" applyFont="1" applyFill="1" applyBorder="1"/>
    <xf numFmtId="0" fontId="3" fillId="0" borderId="10" xfId="50" applyFont="1" applyFill="1" applyBorder="1" applyAlignment="1">
      <alignment horizontal="left"/>
    </xf>
    <xf numFmtId="165" fontId="3" fillId="0" borderId="11" xfId="28" applyNumberFormat="1" applyFont="1" applyFill="1" applyBorder="1" applyAlignment="1">
      <alignment horizontal="right"/>
    </xf>
    <xf numFmtId="0" fontId="3" fillId="0" borderId="11" xfId="50" applyFont="1" applyFill="1" applyBorder="1" applyAlignment="1"/>
    <xf numFmtId="0" fontId="3" fillId="0" borderId="0" xfId="50" applyFont="1" applyFill="1" applyBorder="1" applyAlignment="1">
      <alignment horizontal="left"/>
    </xf>
    <xf numFmtId="0" fontId="4" fillId="0" borderId="13" xfId="50" applyFont="1" applyFill="1" applyBorder="1" applyAlignment="1"/>
    <xf numFmtId="165" fontId="4" fillId="0" borderId="0" xfId="28" applyNumberFormat="1" applyFont="1" applyFill="1" applyBorder="1" applyAlignment="1"/>
    <xf numFmtId="0" fontId="4" fillId="0" borderId="0" xfId="50" applyFont="1" applyFill="1" applyBorder="1" applyAlignment="1">
      <alignment horizontal="center"/>
    </xf>
    <xf numFmtId="0" fontId="3" fillId="0" borderId="0" xfId="50" applyFont="1" applyFill="1"/>
    <xf numFmtId="0" fontId="5" fillId="0" borderId="0" xfId="0" applyFont="1" applyFill="1"/>
    <xf numFmtId="0" fontId="4" fillId="0" borderId="13" xfId="0" applyFont="1" applyFill="1" applyBorder="1"/>
    <xf numFmtId="0" fontId="66" fillId="0" borderId="13" xfId="0" applyFont="1" applyFill="1" applyBorder="1" applyAlignment="1">
      <alignment horizontal="center"/>
    </xf>
    <xf numFmtId="0" fontId="66" fillId="0" borderId="0" xfId="0" applyFont="1" applyFill="1" applyBorder="1"/>
    <xf numFmtId="0" fontId="6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165" fontId="4" fillId="0" borderId="12" xfId="29" applyNumberFormat="1" applyFont="1" applyFill="1" applyBorder="1" applyAlignment="1">
      <alignment horizontal="center" vertical="center"/>
    </xf>
    <xf numFmtId="165" fontId="66" fillId="0" borderId="12" xfId="29" applyNumberFormat="1" applyFont="1" applyFill="1" applyBorder="1" applyAlignment="1">
      <alignment horizontal="center" vertical="center"/>
    </xf>
    <xf numFmtId="165" fontId="3" fillId="0" borderId="12" xfId="29" applyNumberFormat="1" applyFont="1" applyFill="1" applyBorder="1" applyAlignment="1">
      <alignment horizontal="center" vertical="center"/>
    </xf>
    <xf numFmtId="165" fontId="4" fillId="0" borderId="0" xfId="29" applyNumberFormat="1" applyFont="1" applyFill="1" applyBorder="1" applyAlignment="1">
      <alignment horizontal="center" vertical="center"/>
    </xf>
    <xf numFmtId="165" fontId="13" fillId="0" borderId="12" xfId="29" applyNumberFormat="1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/>
    </xf>
    <xf numFmtId="165" fontId="4" fillId="0" borderId="12" xfId="29" applyNumberFormat="1" applyFont="1" applyFill="1" applyBorder="1"/>
    <xf numFmtId="165" fontId="66" fillId="0" borderId="12" xfId="29" applyNumberFormat="1" applyFont="1" applyFill="1" applyBorder="1"/>
    <xf numFmtId="165" fontId="4" fillId="0" borderId="0" xfId="29" applyNumberFormat="1" applyFont="1" applyFill="1" applyBorder="1"/>
    <xf numFmtId="0" fontId="66" fillId="0" borderId="12" xfId="0" applyFont="1" applyFill="1" applyBorder="1"/>
    <xf numFmtId="165" fontId="5" fillId="0" borderId="12" xfId="28" applyNumberFormat="1" applyFont="1" applyFill="1" applyBorder="1"/>
    <xf numFmtId="165" fontId="5" fillId="0" borderId="12" xfId="28" applyNumberFormat="1" applyFont="1" applyFill="1" applyBorder="1" applyAlignment="1">
      <alignment horizontal="center"/>
    </xf>
    <xf numFmtId="0" fontId="66" fillId="0" borderId="14" xfId="0" applyFont="1" applyFill="1" applyBorder="1"/>
    <xf numFmtId="0" fontId="4" fillId="0" borderId="20" xfId="0" applyFont="1" applyFill="1" applyBorder="1" applyAlignment="1">
      <alignment wrapText="1"/>
    </xf>
    <xf numFmtId="3" fontId="4" fillId="0" borderId="12" xfId="0" applyNumberFormat="1" applyFont="1" applyFill="1" applyBorder="1" applyAlignment="1">
      <alignment horizontal="center"/>
    </xf>
    <xf numFmtId="3" fontId="66" fillId="0" borderId="12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70" fillId="0" borderId="12" xfId="0" applyFont="1" applyFill="1" applyBorder="1" applyAlignment="1">
      <alignment horizontal="center" vertical="center" wrapText="1"/>
    </xf>
    <xf numFmtId="0" fontId="66" fillId="0" borderId="16" xfId="0" applyFont="1" applyFill="1" applyBorder="1"/>
    <xf numFmtId="0" fontId="64" fillId="0" borderId="0" xfId="0" applyFont="1" applyFill="1" applyBorder="1" applyAlignment="1"/>
    <xf numFmtId="0" fontId="67" fillId="0" borderId="0" xfId="0" applyFont="1" applyFill="1" applyBorder="1"/>
    <xf numFmtId="0" fontId="55" fillId="0" borderId="0" xfId="0" applyFont="1" applyFill="1" applyBorder="1"/>
    <xf numFmtId="3" fontId="55" fillId="0" borderId="0" xfId="0" applyNumberFormat="1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8" fillId="0" borderId="0" xfId="46" applyFont="1" applyFill="1" applyAlignment="1">
      <alignment horizontal="left" wrapText="1"/>
    </xf>
    <xf numFmtId="0" fontId="58" fillId="0" borderId="0" xfId="46" applyFont="1" applyFill="1" applyAlignment="1">
      <alignment horizontal="center"/>
    </xf>
    <xf numFmtId="0" fontId="60" fillId="0" borderId="13" xfId="46" applyFont="1" applyFill="1" applyBorder="1" applyAlignment="1">
      <alignment horizontal="left" wrapText="1"/>
    </xf>
    <xf numFmtId="0" fontId="60" fillId="0" borderId="10" xfId="46" applyFont="1" applyFill="1" applyBorder="1" applyAlignment="1">
      <alignment horizontal="left" wrapText="1"/>
    </xf>
    <xf numFmtId="0" fontId="60" fillId="0" borderId="11" xfId="46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59" fillId="0" borderId="0" xfId="46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58" fillId="0" borderId="0" xfId="46" applyFont="1" applyFill="1" applyAlignment="1">
      <alignment horizontal="center" wrapText="1"/>
    </xf>
    <xf numFmtId="0" fontId="61" fillId="0" borderId="0" xfId="46" applyFont="1" applyFill="1" applyAlignment="1">
      <alignment horizontal="center" wrapText="1"/>
    </xf>
    <xf numFmtId="0" fontId="75" fillId="0" borderId="10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top" wrapText="1"/>
    </xf>
    <xf numFmtId="0" fontId="26" fillId="0" borderId="0" xfId="49" applyFont="1" applyFill="1" applyAlignment="1">
      <alignment horizontal="right"/>
    </xf>
    <xf numFmtId="0" fontId="5" fillId="19" borderId="0" xfId="49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5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wrapText="1"/>
    </xf>
    <xf numFmtId="165" fontId="4" fillId="19" borderId="0" xfId="28" applyNumberFormat="1" applyFill="1"/>
    <xf numFmtId="165" fontId="4" fillId="19" borderId="10" xfId="28" applyNumberFormat="1" applyFill="1" applyBorder="1"/>
    <xf numFmtId="0" fontId="7" fillId="19" borderId="11" xfId="28" applyNumberFormat="1" applyFont="1" applyFill="1" applyBorder="1" applyAlignment="1">
      <alignment horizontal="center"/>
    </xf>
    <xf numFmtId="0" fontId="7" fillId="19" borderId="11" xfId="50" applyFont="1" applyFill="1" applyBorder="1" applyAlignment="1">
      <alignment horizontal="center"/>
    </xf>
    <xf numFmtId="0" fontId="4" fillId="19" borderId="13" xfId="50" applyFill="1" applyBorder="1" applyAlignment="1">
      <alignment horizontal="center"/>
    </xf>
    <xf numFmtId="165" fontId="7" fillId="19" borderId="0" xfId="28" applyNumberFormat="1" applyFont="1" applyFill="1"/>
    <xf numFmtId="0" fontId="4" fillId="19" borderId="0" xfId="50" applyFill="1" applyAlignment="1">
      <alignment horizontal="left"/>
    </xf>
    <xf numFmtId="0" fontId="5" fillId="19" borderId="0" xfId="50" applyFont="1" applyFill="1" applyAlignment="1">
      <alignment horizontal="center"/>
    </xf>
    <xf numFmtId="0" fontId="64" fillId="19" borderId="0" xfId="0" applyFont="1" applyFill="1" applyBorder="1" applyAlignment="1">
      <alignment horizontal="center"/>
    </xf>
    <xf numFmtId="0" fontId="57" fillId="19" borderId="11" xfId="0" applyFont="1" applyFill="1" applyBorder="1" applyAlignment="1">
      <alignment horizontal="center"/>
    </xf>
    <xf numFmtId="0" fontId="57" fillId="19" borderId="21" xfId="0" applyFont="1" applyFill="1" applyBorder="1" applyAlignment="1">
      <alignment horizontal="center"/>
    </xf>
    <xf numFmtId="0" fontId="57" fillId="19" borderId="20" xfId="0" applyFont="1" applyFill="1" applyBorder="1" applyAlignment="1">
      <alignment horizontal="center"/>
    </xf>
    <xf numFmtId="0" fontId="57" fillId="19" borderId="13" xfId="0" applyNumberFormat="1" applyFont="1" applyFill="1" applyBorder="1" applyAlignment="1">
      <alignment horizontal="center"/>
    </xf>
    <xf numFmtId="0" fontId="64" fillId="19" borderId="10" xfId="0" applyFont="1" applyFill="1" applyBorder="1" applyAlignment="1">
      <alignment horizontal="center"/>
    </xf>
    <xf numFmtId="0" fontId="3" fillId="0" borderId="11" xfId="28" applyNumberFormat="1" applyFont="1" applyFill="1" applyBorder="1" applyAlignment="1">
      <alignment horizontal="center"/>
    </xf>
    <xf numFmtId="0" fontId="5" fillId="0" borderId="0" xfId="50" applyFont="1" applyFill="1" applyAlignment="1">
      <alignment horizontal="center"/>
    </xf>
    <xf numFmtId="3" fontId="59" fillId="0" borderId="0" xfId="0" applyNumberFormat="1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7" fillId="0" borderId="0" xfId="0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0" fontId="67" fillId="0" borderId="0" xfId="0" applyNumberFormat="1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165" fontId="4" fillId="0" borderId="20" xfId="29" applyNumberFormat="1" applyFont="1" applyFill="1" applyBorder="1" applyAlignment="1">
      <alignment horizontal="center"/>
    </xf>
    <xf numFmtId="165" fontId="4" fillId="0" borderId="11" xfId="29" applyNumberFormat="1" applyFont="1" applyFill="1" applyBorder="1" applyAlignment="1">
      <alignment horizontal="center"/>
    </xf>
    <xf numFmtId="165" fontId="4" fillId="0" borderId="21" xfId="29" applyNumberFormat="1" applyFont="1" applyFill="1" applyBorder="1" applyAlignment="1">
      <alignment horizontal="center"/>
    </xf>
    <xf numFmtId="0" fontId="64" fillId="0" borderId="10" xfId="0" applyFont="1" applyFill="1" applyBorder="1" applyAlignment="1">
      <alignment horizontal="center"/>
    </xf>
    <xf numFmtId="0" fontId="66" fillId="0" borderId="20" xfId="0" applyFont="1" applyFill="1" applyBorder="1" applyAlignment="1">
      <alignment horizontal="center"/>
    </xf>
    <xf numFmtId="0" fontId="66" fillId="0" borderId="11" xfId="0" applyFont="1" applyFill="1" applyBorder="1" applyAlignment="1">
      <alignment horizontal="center"/>
    </xf>
    <xf numFmtId="0" fontId="66" fillId="0" borderId="21" xfId="0" applyFont="1" applyFill="1" applyBorder="1" applyAlignment="1">
      <alignment horizontal="center"/>
    </xf>
    <xf numFmtId="0" fontId="66" fillId="0" borderId="13" xfId="0" applyNumberFormat="1" applyFont="1" applyFill="1" applyBorder="1" applyAlignment="1">
      <alignment horizontal="center"/>
    </xf>
    <xf numFmtId="0" fontId="66" fillId="0" borderId="17" xfId="0" applyNumberFormat="1" applyFont="1" applyFill="1" applyBorder="1" applyAlignment="1">
      <alignment horizontal="center"/>
    </xf>
  </cellXfs>
  <cellStyles count="5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3" xfId="30" xr:uid="{00000000-0005-0000-0000-00001D000000}"/>
    <cellStyle name="Comma_EDUCAT Chapter 2" xfId="31" xr:uid="{00000000-0005-0000-0000-00001E000000}"/>
    <cellStyle name="Comma_POP &amp; VITAL Chapter 11" xfId="32" xr:uid="{00000000-0005-0000-0000-00001F000000}"/>
    <cellStyle name="Currency" xfId="33" builtinId="4"/>
    <cellStyle name="Explanatory Text 2" xfId="34" xr:uid="{00000000-0005-0000-0000-000022000000}"/>
    <cellStyle name="Good 2" xfId="35" xr:uid="{00000000-0005-0000-0000-000023000000}"/>
    <cellStyle name="Heading 1 2" xfId="36" xr:uid="{00000000-0005-0000-0000-000024000000}"/>
    <cellStyle name="Heading 2 2" xfId="37" xr:uid="{00000000-0005-0000-0000-000025000000}"/>
    <cellStyle name="Heading 3 2" xfId="38" xr:uid="{00000000-0005-0000-0000-000026000000}"/>
    <cellStyle name="Heading 4 2" xfId="39" xr:uid="{00000000-0005-0000-0000-000027000000}"/>
    <cellStyle name="Input 2" xfId="40" xr:uid="{00000000-0005-0000-0000-000028000000}"/>
    <cellStyle name="Linked Cell 2" xfId="41" xr:uid="{00000000-0005-0000-0000-000029000000}"/>
    <cellStyle name="Neutral 2" xfId="42" xr:uid="{00000000-0005-0000-0000-00002A000000}"/>
    <cellStyle name="Normal" xfId="0" builtinId="0"/>
    <cellStyle name="Normal 2" xfId="43" xr:uid="{00000000-0005-0000-0000-00002C000000}"/>
    <cellStyle name="Normal 2 2" xfId="44" xr:uid="{00000000-0005-0000-0000-00002D000000}"/>
    <cellStyle name="Normal 2 3" xfId="45" xr:uid="{00000000-0005-0000-0000-00002E000000}"/>
    <cellStyle name="Normal 3" xfId="46" xr:uid="{00000000-0005-0000-0000-00002F000000}"/>
    <cellStyle name="Normal 4" xfId="47" xr:uid="{00000000-0005-0000-0000-000030000000}"/>
    <cellStyle name="Normal 8" xfId="48" xr:uid="{00000000-0005-0000-0000-000031000000}"/>
    <cellStyle name="Normal_EDUCAT Chapter 2" xfId="49" xr:uid="{00000000-0005-0000-0000-000032000000}"/>
    <cellStyle name="Normal_POP &amp; VITAL Chapter 11" xfId="50" xr:uid="{00000000-0005-0000-0000-000033000000}"/>
    <cellStyle name="Normal_Sheet1" xfId="51" xr:uid="{00000000-0005-0000-0000-000034000000}"/>
    <cellStyle name="Note 2" xfId="52" xr:uid="{00000000-0005-0000-0000-000035000000}"/>
    <cellStyle name="Output 2" xfId="53" xr:uid="{00000000-0005-0000-0000-000036000000}"/>
    <cellStyle name="Title 2" xfId="54" xr:uid="{00000000-0005-0000-0000-000037000000}"/>
    <cellStyle name="Total 2" xfId="55" xr:uid="{00000000-0005-0000-0000-000038000000}"/>
    <cellStyle name="Warning Text 2" xfId="56" xr:uid="{00000000-0005-0000-0000-00003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123824</xdr:colOff>
          <xdr:row>0</xdr:row>
          <xdr:rowOff>66675</xdr:rowOff>
        </xdr:from>
        <xdr:to>
          <xdr:col>1</xdr:col>
          <xdr:colOff>407193</xdr:colOff>
          <xdr:row>3</xdr:row>
          <xdr:rowOff>57150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0</xdr:row>
          <xdr:rowOff>133350</xdr:rowOff>
        </xdr:from>
        <xdr:to>
          <xdr:col>2</xdr:col>
          <xdr:colOff>819150</xdr:colOff>
          <xdr:row>3</xdr:row>
          <xdr:rowOff>57150</xdr:rowOff>
        </xdr:to>
        <xdr:sp macro="" textlink="">
          <xdr:nvSpPr>
            <xdr:cNvPr id="29700" name="Object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1</xdr:row>
          <xdr:rowOff>57150</xdr:rowOff>
        </xdr:from>
        <xdr:to>
          <xdr:col>3</xdr:col>
          <xdr:colOff>714375</xdr:colOff>
          <xdr:row>3</xdr:row>
          <xdr:rowOff>95250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0</xdr:row>
          <xdr:rowOff>85725</xdr:rowOff>
        </xdr:from>
        <xdr:to>
          <xdr:col>2</xdr:col>
          <xdr:colOff>571500</xdr:colOff>
          <xdr:row>3</xdr:row>
          <xdr:rowOff>47625</xdr:rowOff>
        </xdr:to>
        <xdr:sp macro="" textlink="">
          <xdr:nvSpPr>
            <xdr:cNvPr id="24581" name="Object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114300</xdr:rowOff>
        </xdr:from>
        <xdr:to>
          <xdr:col>1</xdr:col>
          <xdr:colOff>419100</xdr:colOff>
          <xdr:row>2</xdr:row>
          <xdr:rowOff>123825</xdr:rowOff>
        </xdr:to>
        <xdr:sp macro="" textlink="">
          <xdr:nvSpPr>
            <xdr:cNvPr id="23559" name="Object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4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76200</xdr:rowOff>
        </xdr:from>
        <xdr:to>
          <xdr:col>1</xdr:col>
          <xdr:colOff>533400</xdr:colOff>
          <xdr:row>3</xdr:row>
          <xdr:rowOff>47625</xdr:rowOff>
        </xdr:to>
        <xdr:sp macro="" textlink="">
          <xdr:nvSpPr>
            <xdr:cNvPr id="36873" name="Object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5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57150</xdr:rowOff>
        </xdr:from>
        <xdr:to>
          <xdr:col>1</xdr:col>
          <xdr:colOff>552450</xdr:colOff>
          <xdr:row>3</xdr:row>
          <xdr:rowOff>28575</xdr:rowOff>
        </xdr:to>
        <xdr:sp macro="" textlink="">
          <xdr:nvSpPr>
            <xdr:cNvPr id="44039" name="Object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6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76200</xdr:rowOff>
        </xdr:from>
        <xdr:to>
          <xdr:col>2</xdr:col>
          <xdr:colOff>238125</xdr:colOff>
          <xdr:row>2</xdr:row>
          <xdr:rowOff>171450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7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95250</xdr:colOff>
          <xdr:row>2</xdr:row>
          <xdr:rowOff>95250</xdr:rowOff>
        </xdr:to>
        <xdr:sp macro="" textlink="">
          <xdr:nvSpPr>
            <xdr:cNvPr id="22534" name="Object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8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47625</xdr:rowOff>
        </xdr:from>
        <xdr:to>
          <xdr:col>1</xdr:col>
          <xdr:colOff>228600</xdr:colOff>
          <xdr:row>1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0</xdr:col>
          <xdr:colOff>323850</xdr:colOff>
          <xdr:row>0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628650</xdr:colOff>
          <xdr:row>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D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57150</xdr:rowOff>
        </xdr:from>
        <xdr:to>
          <xdr:col>1</xdr:col>
          <xdr:colOff>66675</xdr:colOff>
          <xdr:row>2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E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0</xdr:row>
          <xdr:rowOff>0</xdr:rowOff>
        </xdr:from>
        <xdr:to>
          <xdr:col>2</xdr:col>
          <xdr:colOff>1400175</xdr:colOff>
          <xdr:row>3</xdr:row>
          <xdr:rowOff>85725</xdr:rowOff>
        </xdr:to>
        <xdr:sp macro="" textlink="">
          <xdr:nvSpPr>
            <xdr:cNvPr id="39941" name="Object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10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476250</xdr:colOff>
          <xdr:row>0</xdr:row>
          <xdr:rowOff>0</xdr:rowOff>
        </xdr:from>
        <xdr:to>
          <xdr:col>2</xdr:col>
          <xdr:colOff>1524000</xdr:colOff>
          <xdr:row>3</xdr:row>
          <xdr:rowOff>85725</xdr:rowOff>
        </xdr:to>
        <xdr:sp macro="" textlink="">
          <xdr:nvSpPr>
            <xdr:cNvPr id="39943" name="Object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10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247650</xdr:colOff>
          <xdr:row>2</xdr:row>
          <xdr:rowOff>66675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1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57150</xdr:rowOff>
        </xdr:from>
        <xdr:to>
          <xdr:col>2</xdr:col>
          <xdr:colOff>247650</xdr:colOff>
          <xdr:row>0</xdr:row>
          <xdr:rowOff>161925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2</xdr:col>
          <xdr:colOff>28575</xdr:colOff>
          <xdr:row>0</xdr:row>
          <xdr:rowOff>161925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13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1</xdr:col>
          <xdr:colOff>457200</xdr:colOff>
          <xdr:row>3</xdr:row>
          <xdr:rowOff>95250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14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438150</xdr:colOff>
          <xdr:row>3</xdr:row>
          <xdr:rowOff>76200</xdr:rowOff>
        </xdr:to>
        <xdr:sp macro="" textlink="">
          <xdr:nvSpPr>
            <xdr:cNvPr id="56324" name="Object 4" hidden="1">
              <a:extLst>
                <a:ext uri="{63B3BB69-23CF-44E3-9099-C40C66FF867C}">
                  <a14:compatExt spid="_x0000_s56324"/>
                </a:ext>
                <a:ext uri="{FF2B5EF4-FFF2-40B4-BE49-F238E27FC236}">
                  <a16:creationId xmlns:a16="http://schemas.microsoft.com/office/drawing/2014/main" id="{00000000-0008-0000-1500-000004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  <pageSetUpPr fitToPage="1"/>
  </sheetPr>
  <dimension ref="B2:S70"/>
  <sheetViews>
    <sheetView tabSelected="1" zoomScaleNormal="100" zoomScaleSheetLayoutView="69" workbookViewId="0">
      <selection activeCell="O4" sqref="O4"/>
    </sheetView>
  </sheetViews>
  <sheetFormatPr defaultColWidth="9.140625" defaultRowHeight="12.75" x14ac:dyDescent="0.2"/>
  <cols>
    <col min="1" max="1" width="9.140625" style="351"/>
    <col min="2" max="2" width="6.5703125" style="351" customWidth="1"/>
    <col min="3" max="3" width="32.140625" style="351" customWidth="1"/>
    <col min="4" max="4" width="11.42578125" style="351" customWidth="1"/>
    <col min="5" max="7" width="10.42578125" style="351" customWidth="1"/>
    <col min="8" max="8" width="11.5703125" style="351" customWidth="1"/>
    <col min="9" max="12" width="9.140625" style="351"/>
    <col min="13" max="13" width="9.140625" style="352"/>
    <col min="14" max="16384" width="9.140625" style="351"/>
  </cols>
  <sheetData>
    <row r="2" spans="2:14" x14ac:dyDescent="0.2">
      <c r="H2" s="586" t="s">
        <v>349</v>
      </c>
      <c r="I2" s="586"/>
      <c r="J2" s="586"/>
      <c r="K2" s="586"/>
    </row>
    <row r="4" spans="2:14" ht="15" x14ac:dyDescent="0.25">
      <c r="D4" s="353"/>
      <c r="E4" s="353"/>
    </row>
    <row r="5" spans="2:14" ht="9" customHeight="1" x14ac:dyDescent="0.2"/>
    <row r="7" spans="2:14" ht="15.75" x14ac:dyDescent="0.25">
      <c r="C7" s="355"/>
      <c r="D7" s="355"/>
      <c r="E7" s="355"/>
    </row>
    <row r="8" spans="2:14" ht="15.75" x14ac:dyDescent="0.25">
      <c r="C8" s="354"/>
      <c r="D8" s="354"/>
      <c r="E8" s="354"/>
    </row>
    <row r="9" spans="2:14" ht="15.75" x14ac:dyDescent="0.25">
      <c r="B9" s="355" t="s">
        <v>229</v>
      </c>
      <c r="C9" s="589" t="s">
        <v>357</v>
      </c>
      <c r="D9" s="589"/>
      <c r="E9" s="589"/>
      <c r="F9" s="589"/>
      <c r="G9" s="589"/>
      <c r="H9" s="589"/>
      <c r="I9" s="589"/>
      <c r="J9" s="589"/>
      <c r="K9" s="589"/>
      <c r="L9" s="589"/>
    </row>
    <row r="10" spans="2:14" x14ac:dyDescent="0.2">
      <c r="E10" s="352"/>
      <c r="F10" s="352"/>
      <c r="G10" s="352"/>
      <c r="H10" s="352"/>
      <c r="I10" s="352"/>
      <c r="J10" s="352"/>
      <c r="K10" s="352"/>
      <c r="L10" s="352"/>
    </row>
    <row r="11" spans="2:14" x14ac:dyDescent="0.2">
      <c r="C11" s="349"/>
      <c r="D11" s="356"/>
      <c r="E11" s="352"/>
      <c r="F11" s="352"/>
      <c r="G11" s="352"/>
      <c r="H11" s="352"/>
      <c r="I11" s="352"/>
      <c r="J11" s="352"/>
      <c r="K11" s="352"/>
      <c r="L11" s="352"/>
    </row>
    <row r="12" spans="2:14" x14ac:dyDescent="0.2">
      <c r="C12" s="588" t="s">
        <v>16</v>
      </c>
      <c r="D12" s="588"/>
      <c r="E12" s="357">
        <v>2014</v>
      </c>
      <c r="F12" s="357">
        <v>2015</v>
      </c>
      <c r="G12" s="357">
        <v>2016</v>
      </c>
      <c r="H12" s="357">
        <v>2017</v>
      </c>
      <c r="I12" s="357">
        <v>2018</v>
      </c>
      <c r="J12" s="357">
        <v>2019</v>
      </c>
      <c r="K12" s="357">
        <v>2020</v>
      </c>
      <c r="L12" s="357">
        <v>2021</v>
      </c>
      <c r="M12" s="357">
        <v>2022</v>
      </c>
      <c r="N12" s="357">
        <v>2023</v>
      </c>
    </row>
    <row r="13" spans="2:14" ht="14.25" customHeight="1" x14ac:dyDescent="0.2">
      <c r="C13" s="358"/>
      <c r="D13" s="358"/>
      <c r="E13" s="359"/>
    </row>
    <row r="14" spans="2:14" ht="42.75" customHeight="1" x14ac:dyDescent="0.2">
      <c r="C14" s="360" t="s">
        <v>182</v>
      </c>
      <c r="D14" s="361"/>
      <c r="E14" s="362">
        <f>SUM(E15:E17)</f>
        <v>43</v>
      </c>
      <c r="F14" s="362">
        <v>37</v>
      </c>
      <c r="G14" s="362">
        <f t="shared" ref="G14:N14" si="0">SUM(G15:G17)</f>
        <v>38</v>
      </c>
      <c r="H14" s="362">
        <f t="shared" si="0"/>
        <v>38</v>
      </c>
      <c r="I14" s="362">
        <f t="shared" si="0"/>
        <v>37</v>
      </c>
      <c r="J14" s="362">
        <f t="shared" si="0"/>
        <v>38</v>
      </c>
      <c r="K14" s="362">
        <f t="shared" si="0"/>
        <v>42</v>
      </c>
      <c r="L14" s="362">
        <f t="shared" si="0"/>
        <v>41</v>
      </c>
      <c r="M14" s="362">
        <f t="shared" si="0"/>
        <v>41</v>
      </c>
      <c r="N14" s="362">
        <f t="shared" si="0"/>
        <v>41</v>
      </c>
    </row>
    <row r="15" spans="2:14" s="363" customFormat="1" ht="14.25" x14ac:dyDescent="0.2">
      <c r="C15" s="364" t="s">
        <v>183</v>
      </c>
      <c r="D15" s="365"/>
      <c r="E15" s="366">
        <v>25</v>
      </c>
      <c r="F15" s="363">
        <v>23</v>
      </c>
      <c r="G15" s="363">
        <v>20</v>
      </c>
      <c r="H15" s="363">
        <v>22</v>
      </c>
      <c r="I15" s="363">
        <v>21</v>
      </c>
      <c r="J15" s="363">
        <v>21</v>
      </c>
      <c r="K15" s="363">
        <v>22</v>
      </c>
      <c r="L15" s="363">
        <v>18</v>
      </c>
      <c r="M15" s="367">
        <v>18</v>
      </c>
      <c r="N15" s="363">
        <v>19</v>
      </c>
    </row>
    <row r="16" spans="2:14" s="363" customFormat="1" ht="14.25" x14ac:dyDescent="0.2">
      <c r="C16" s="364" t="s">
        <v>184</v>
      </c>
      <c r="D16" s="365"/>
      <c r="E16" s="366">
        <v>11</v>
      </c>
      <c r="F16" s="363">
        <v>11</v>
      </c>
      <c r="G16" s="363">
        <v>11</v>
      </c>
      <c r="H16" s="363">
        <v>9</v>
      </c>
      <c r="I16" s="363">
        <v>9</v>
      </c>
      <c r="J16" s="363">
        <v>9</v>
      </c>
      <c r="K16" s="363">
        <v>10</v>
      </c>
      <c r="L16" s="363">
        <v>13</v>
      </c>
      <c r="M16" s="367">
        <v>13</v>
      </c>
      <c r="N16" s="363">
        <v>12</v>
      </c>
    </row>
    <row r="17" spans="3:19" s="363" customFormat="1" ht="14.25" x14ac:dyDescent="0.2">
      <c r="C17" s="364" t="s">
        <v>185</v>
      </c>
      <c r="D17" s="365"/>
      <c r="E17" s="366">
        <v>7</v>
      </c>
      <c r="F17" s="363">
        <v>7</v>
      </c>
      <c r="G17" s="363">
        <v>7</v>
      </c>
      <c r="H17" s="363">
        <v>7</v>
      </c>
      <c r="I17" s="363">
        <v>7</v>
      </c>
      <c r="J17" s="363">
        <v>8</v>
      </c>
      <c r="K17" s="363">
        <v>10</v>
      </c>
      <c r="L17" s="363">
        <v>10</v>
      </c>
      <c r="M17" s="367">
        <v>10</v>
      </c>
      <c r="N17" s="363">
        <v>10</v>
      </c>
    </row>
    <row r="18" spans="3:19" x14ac:dyDescent="0.2">
      <c r="C18" s="368"/>
      <c r="D18" s="368"/>
      <c r="E18" s="359"/>
    </row>
    <row r="19" spans="3:19" x14ac:dyDescent="0.2">
      <c r="C19" s="368"/>
      <c r="D19" s="368"/>
      <c r="E19" s="359"/>
    </row>
    <row r="20" spans="3:19" x14ac:dyDescent="0.2">
      <c r="C20" s="369" t="s">
        <v>145</v>
      </c>
      <c r="D20" s="370"/>
      <c r="E20" s="371">
        <f>SUM(E21:E23)</f>
        <v>1949</v>
      </c>
      <c r="F20" s="371">
        <f>SUM(F21:F23)</f>
        <v>1785</v>
      </c>
      <c r="G20" s="371">
        <f>SUM(G25:G26)</f>
        <v>1931</v>
      </c>
      <c r="H20" s="371">
        <f>SUM(H25:H26)</f>
        <v>2042</v>
      </c>
      <c r="I20" s="371">
        <f>SUM(I25:I26)</f>
        <v>1907</v>
      </c>
      <c r="J20" s="371">
        <f>SUM(J21:J23)</f>
        <v>1876</v>
      </c>
      <c r="K20" s="371">
        <f>SUM(K25:K26)</f>
        <v>1717</v>
      </c>
      <c r="L20" s="371">
        <f>SUM(L25:L26)</f>
        <v>1930</v>
      </c>
      <c r="M20" s="372">
        <f>SUM(M25:M26)</f>
        <v>1976</v>
      </c>
      <c r="N20" s="371">
        <f>SUM(N25:N26)</f>
        <v>2001</v>
      </c>
    </row>
    <row r="21" spans="3:19" s="363" customFormat="1" ht="14.25" x14ac:dyDescent="0.2">
      <c r="C21" s="364" t="s">
        <v>183</v>
      </c>
      <c r="D21" s="365"/>
      <c r="E21" s="373">
        <v>1183</v>
      </c>
      <c r="F21" s="374">
        <v>1132</v>
      </c>
      <c r="G21" s="374">
        <v>1138</v>
      </c>
      <c r="H21" s="374">
        <v>1357</v>
      </c>
      <c r="I21" s="374">
        <v>1286</v>
      </c>
      <c r="J21" s="374">
        <v>1155</v>
      </c>
      <c r="K21" s="374">
        <v>945</v>
      </c>
      <c r="L21" s="374">
        <v>1017</v>
      </c>
      <c r="M21" s="367">
        <v>1016</v>
      </c>
      <c r="N21" s="363">
        <v>1095</v>
      </c>
    </row>
    <row r="22" spans="3:19" s="363" customFormat="1" ht="14.25" x14ac:dyDescent="0.2">
      <c r="C22" s="364" t="s">
        <v>184</v>
      </c>
      <c r="D22" s="365"/>
      <c r="E22" s="373">
        <v>480</v>
      </c>
      <c r="F22" s="374">
        <v>359</v>
      </c>
      <c r="G22" s="374">
        <v>509</v>
      </c>
      <c r="H22" s="374">
        <v>422</v>
      </c>
      <c r="I22" s="374">
        <v>393</v>
      </c>
      <c r="J22" s="374">
        <v>470</v>
      </c>
      <c r="K22" s="374">
        <v>558</v>
      </c>
      <c r="L22" s="374">
        <v>668</v>
      </c>
      <c r="M22" s="367">
        <v>704</v>
      </c>
      <c r="N22" s="363">
        <v>637</v>
      </c>
    </row>
    <row r="23" spans="3:19" s="363" customFormat="1" ht="14.25" x14ac:dyDescent="0.2">
      <c r="C23" s="364" t="s">
        <v>185</v>
      </c>
      <c r="D23" s="365"/>
      <c r="E23" s="373">
        <v>286</v>
      </c>
      <c r="F23" s="374">
        <v>294</v>
      </c>
      <c r="G23" s="374">
        <v>284</v>
      </c>
      <c r="H23" s="374">
        <v>263</v>
      </c>
      <c r="I23" s="374">
        <v>228</v>
      </c>
      <c r="J23" s="374">
        <v>251</v>
      </c>
      <c r="K23" s="374">
        <v>214</v>
      </c>
      <c r="L23" s="374">
        <v>245</v>
      </c>
      <c r="M23" s="367">
        <v>256</v>
      </c>
      <c r="N23" s="363">
        <v>269</v>
      </c>
    </row>
    <row r="24" spans="3:19" s="363" customFormat="1" ht="14.25" x14ac:dyDescent="0.2">
      <c r="C24" s="364"/>
      <c r="D24" s="365"/>
      <c r="E24" s="373"/>
      <c r="F24" s="374"/>
      <c r="G24" s="374"/>
      <c r="H24" s="374"/>
      <c r="I24" s="374"/>
      <c r="J24" s="374"/>
      <c r="K24" s="374"/>
      <c r="L24" s="374"/>
      <c r="M24" s="367"/>
    </row>
    <row r="25" spans="3:19" x14ac:dyDescent="0.2">
      <c r="C25" s="375" t="s">
        <v>26</v>
      </c>
      <c r="D25" s="376"/>
      <c r="E25" s="373">
        <v>921</v>
      </c>
      <c r="F25" s="374">
        <v>855</v>
      </c>
      <c r="G25" s="374">
        <v>954</v>
      </c>
      <c r="H25" s="374">
        <v>1024</v>
      </c>
      <c r="I25" s="374">
        <v>955</v>
      </c>
      <c r="J25" s="374">
        <v>962</v>
      </c>
      <c r="K25" s="374">
        <v>891</v>
      </c>
      <c r="L25" s="374">
        <v>949</v>
      </c>
      <c r="M25" s="377">
        <v>951</v>
      </c>
      <c r="N25" s="363">
        <v>957</v>
      </c>
      <c r="O25" s="374"/>
      <c r="P25" s="374"/>
      <c r="Q25" s="374"/>
      <c r="R25" s="378"/>
    </row>
    <row r="26" spans="3:19" x14ac:dyDescent="0.2">
      <c r="C26" s="375" t="s">
        <v>25</v>
      </c>
      <c r="D26" s="376"/>
      <c r="E26" s="373">
        <v>1028</v>
      </c>
      <c r="F26" s="374">
        <v>930</v>
      </c>
      <c r="G26" s="374">
        <v>977</v>
      </c>
      <c r="H26" s="374">
        <v>1018</v>
      </c>
      <c r="I26" s="374">
        <v>952</v>
      </c>
      <c r="J26" s="374">
        <v>914</v>
      </c>
      <c r="K26" s="374">
        <v>826</v>
      </c>
      <c r="L26" s="374">
        <v>981</v>
      </c>
      <c r="M26" s="377">
        <v>1025</v>
      </c>
      <c r="N26" s="363">
        <v>1044</v>
      </c>
      <c r="O26" s="374"/>
      <c r="P26" s="374"/>
      <c r="Q26" s="374"/>
      <c r="R26" s="378"/>
    </row>
    <row r="27" spans="3:19" x14ac:dyDescent="0.2">
      <c r="C27" s="368"/>
      <c r="D27" s="368"/>
      <c r="E27" s="373"/>
      <c r="F27" s="374"/>
      <c r="G27" s="374"/>
      <c r="H27" s="374"/>
      <c r="I27" s="374"/>
      <c r="J27" s="374"/>
      <c r="K27" s="374"/>
      <c r="L27" s="374"/>
      <c r="Q27" s="378"/>
      <c r="R27" s="378"/>
      <c r="S27" s="378"/>
    </row>
    <row r="28" spans="3:19" x14ac:dyDescent="0.2">
      <c r="C28" s="368"/>
      <c r="D28" s="368"/>
      <c r="E28" s="359"/>
    </row>
    <row r="29" spans="3:19" x14ac:dyDescent="0.2">
      <c r="C29" s="369" t="s">
        <v>149</v>
      </c>
      <c r="D29" s="379"/>
      <c r="E29" s="362">
        <f>SUM(E30:E32)</f>
        <v>251</v>
      </c>
      <c r="F29" s="362">
        <f>SUM(F30:F32)</f>
        <v>300</v>
      </c>
      <c r="G29" s="362">
        <f>SUM(G30,G31,G32)</f>
        <v>263</v>
      </c>
      <c r="H29" s="362">
        <f>SUM(H34:H35)</f>
        <v>324</v>
      </c>
      <c r="I29" s="362">
        <f>SUM(I30:I32)</f>
        <v>307</v>
      </c>
      <c r="J29" s="362">
        <f>SUM(J34:J35)</f>
        <v>290</v>
      </c>
      <c r="K29" s="362">
        <f>SUM(K30:K32)</f>
        <v>270</v>
      </c>
      <c r="L29" s="362">
        <f>SUM(L30:L32)</f>
        <v>332</v>
      </c>
      <c r="M29" s="380">
        <f>SUM(M30:M32)</f>
        <v>341</v>
      </c>
      <c r="N29" s="362">
        <f>SUM(N30:N32)</f>
        <v>287</v>
      </c>
    </row>
    <row r="30" spans="3:19" s="363" customFormat="1" ht="14.25" x14ac:dyDescent="0.2">
      <c r="C30" s="364" t="s">
        <v>183</v>
      </c>
      <c r="D30" s="365"/>
      <c r="E30" s="366">
        <v>193</v>
      </c>
      <c r="F30" s="363">
        <v>214</v>
      </c>
      <c r="G30" s="363">
        <v>214</v>
      </c>
      <c r="H30" s="363">
        <v>278</v>
      </c>
      <c r="I30" s="363">
        <v>269</v>
      </c>
      <c r="J30" s="363">
        <v>250</v>
      </c>
      <c r="K30" s="363">
        <v>226</v>
      </c>
      <c r="L30" s="363">
        <v>270</v>
      </c>
      <c r="M30" s="367">
        <v>278</v>
      </c>
      <c r="N30" s="363">
        <v>229</v>
      </c>
    </row>
    <row r="31" spans="3:19" s="363" customFormat="1" ht="14.25" x14ac:dyDescent="0.2">
      <c r="C31" s="364" t="s">
        <v>184</v>
      </c>
      <c r="D31" s="365"/>
      <c r="E31" s="366">
        <v>42</v>
      </c>
      <c r="F31" s="363">
        <v>69</v>
      </c>
      <c r="G31" s="363">
        <v>32</v>
      </c>
      <c r="H31" s="363">
        <v>28</v>
      </c>
      <c r="I31" s="363">
        <v>21</v>
      </c>
      <c r="J31" s="363">
        <v>20</v>
      </c>
      <c r="K31" s="363">
        <v>26</v>
      </c>
      <c r="L31" s="363">
        <v>42</v>
      </c>
      <c r="M31" s="367">
        <v>43</v>
      </c>
      <c r="N31" s="363">
        <v>39</v>
      </c>
    </row>
    <row r="32" spans="3:19" s="363" customFormat="1" ht="14.25" x14ac:dyDescent="0.2">
      <c r="C32" s="364" t="s">
        <v>185</v>
      </c>
      <c r="D32" s="365"/>
      <c r="E32" s="366">
        <v>16</v>
      </c>
      <c r="F32" s="363">
        <v>17</v>
      </c>
      <c r="G32" s="363">
        <v>17</v>
      </c>
      <c r="H32" s="363">
        <v>17</v>
      </c>
      <c r="I32" s="363">
        <v>17</v>
      </c>
      <c r="J32" s="363">
        <v>20</v>
      </c>
      <c r="K32" s="363">
        <v>18</v>
      </c>
      <c r="L32" s="363">
        <v>20</v>
      </c>
      <c r="M32" s="367">
        <v>20</v>
      </c>
      <c r="N32" s="363">
        <v>19</v>
      </c>
    </row>
    <row r="33" spans="3:14" s="363" customFormat="1" ht="14.25" x14ac:dyDescent="0.2">
      <c r="C33" s="364"/>
      <c r="D33" s="365"/>
      <c r="E33" s="366"/>
      <c r="M33" s="367"/>
    </row>
    <row r="34" spans="3:14" ht="14.25" hidden="1" x14ac:dyDescent="0.2">
      <c r="C34" s="375" t="s">
        <v>26</v>
      </c>
      <c r="D34" s="365"/>
      <c r="E34" s="366">
        <v>251</v>
      </c>
      <c r="F34" s="363">
        <v>246</v>
      </c>
      <c r="G34" s="363">
        <v>263</v>
      </c>
      <c r="H34" s="363">
        <f>SUM(H30:H32)</f>
        <v>323</v>
      </c>
      <c r="I34" s="363">
        <v>307</v>
      </c>
      <c r="J34" s="363">
        <v>289</v>
      </c>
      <c r="K34" s="363">
        <f>SUM(K30:K32)</f>
        <v>270</v>
      </c>
      <c r="L34" s="363">
        <v>332</v>
      </c>
      <c r="M34" s="352">
        <v>216</v>
      </c>
    </row>
    <row r="35" spans="3:14" ht="14.25" hidden="1" x14ac:dyDescent="0.2">
      <c r="C35" s="375" t="s">
        <v>25</v>
      </c>
      <c r="D35" s="365"/>
      <c r="E35" s="366">
        <v>0</v>
      </c>
      <c r="F35" s="363">
        <v>0</v>
      </c>
      <c r="G35" s="381">
        <v>0</v>
      </c>
      <c r="H35" s="381">
        <v>1</v>
      </c>
      <c r="I35" s="381">
        <v>0</v>
      </c>
      <c r="J35" s="381">
        <v>1</v>
      </c>
      <c r="K35" s="381">
        <v>0</v>
      </c>
      <c r="L35" s="381"/>
    </row>
    <row r="36" spans="3:14" x14ac:dyDescent="0.2">
      <c r="C36" s="382"/>
      <c r="D36" s="382"/>
      <c r="E36" s="359"/>
    </row>
    <row r="37" spans="3:14" x14ac:dyDescent="0.2">
      <c r="C37" s="383" t="s">
        <v>200</v>
      </c>
      <c r="D37" s="384"/>
      <c r="E37" s="357">
        <v>2014</v>
      </c>
      <c r="F37" s="357">
        <v>2015</v>
      </c>
      <c r="G37" s="357">
        <v>2016</v>
      </c>
      <c r="H37" s="357">
        <v>2017</v>
      </c>
      <c r="I37" s="357">
        <v>2018</v>
      </c>
      <c r="J37" s="357">
        <v>2019</v>
      </c>
      <c r="K37" s="357">
        <v>2020</v>
      </c>
      <c r="L37" s="357">
        <v>2021</v>
      </c>
      <c r="M37" s="357">
        <v>2022</v>
      </c>
      <c r="N37" s="357">
        <v>2023</v>
      </c>
    </row>
    <row r="38" spans="3:14" ht="14.25" customHeight="1" x14ac:dyDescent="0.2">
      <c r="C38" s="368"/>
      <c r="D38" s="356"/>
    </row>
    <row r="39" spans="3:14" ht="43.5" customHeight="1" x14ac:dyDescent="0.2">
      <c r="C39" s="360" t="s">
        <v>182</v>
      </c>
      <c r="D39" s="356"/>
      <c r="E39" s="352">
        <f>SUM(E40:E41)</f>
        <v>4</v>
      </c>
      <c r="F39" s="352">
        <f>SUM(F40:F41)</f>
        <v>4</v>
      </c>
      <c r="G39" s="352">
        <v>4</v>
      </c>
      <c r="H39" s="352">
        <f>SUM(H40:H41)</f>
        <v>4</v>
      </c>
      <c r="I39" s="352">
        <v>4</v>
      </c>
      <c r="J39" s="352"/>
      <c r="K39" s="352">
        <v>4</v>
      </c>
      <c r="L39" s="352">
        <v>4</v>
      </c>
      <c r="M39" s="352">
        <v>4</v>
      </c>
      <c r="N39" s="351">
        <f>SUM(N40:N41)</f>
        <v>3</v>
      </c>
    </row>
    <row r="40" spans="3:14" x14ac:dyDescent="0.2">
      <c r="C40" s="364" t="s">
        <v>183</v>
      </c>
      <c r="D40" s="356"/>
      <c r="E40" s="385">
        <v>1</v>
      </c>
      <c r="F40" s="385">
        <v>1</v>
      </c>
      <c r="G40" s="385">
        <v>1</v>
      </c>
      <c r="H40" s="385">
        <v>1</v>
      </c>
      <c r="I40" s="385">
        <v>1</v>
      </c>
      <c r="J40" s="385"/>
      <c r="K40" s="385">
        <v>1</v>
      </c>
      <c r="L40" s="385">
        <v>1</v>
      </c>
      <c r="M40" s="385">
        <v>1</v>
      </c>
      <c r="N40" s="385">
        <v>1</v>
      </c>
    </row>
    <row r="41" spans="3:14" s="363" customFormat="1" x14ac:dyDescent="0.2">
      <c r="C41" s="364" t="s">
        <v>185</v>
      </c>
      <c r="D41" s="386"/>
      <c r="E41" s="366">
        <v>3</v>
      </c>
      <c r="F41" s="363">
        <v>3</v>
      </c>
      <c r="G41" s="363">
        <v>3</v>
      </c>
      <c r="H41" s="363">
        <v>3</v>
      </c>
      <c r="I41" s="363">
        <v>3</v>
      </c>
      <c r="K41" s="363">
        <v>3</v>
      </c>
      <c r="L41" s="363">
        <v>3</v>
      </c>
      <c r="M41" s="363">
        <v>3</v>
      </c>
      <c r="N41" s="363">
        <v>2</v>
      </c>
    </row>
    <row r="42" spans="3:14" s="363" customFormat="1" ht="14.25" x14ac:dyDescent="0.2">
      <c r="C42" s="364"/>
      <c r="D42" s="365"/>
      <c r="E42" s="366"/>
      <c r="M42" s="367"/>
    </row>
    <row r="43" spans="3:14" x14ac:dyDescent="0.2">
      <c r="C43" s="375"/>
      <c r="D43" s="368"/>
      <c r="E43" s="359"/>
    </row>
    <row r="44" spans="3:14" x14ac:dyDescent="0.2">
      <c r="C44" s="375"/>
      <c r="D44" s="379"/>
      <c r="E44" s="359"/>
    </row>
    <row r="45" spans="3:14" s="363" customFormat="1" ht="14.25" x14ac:dyDescent="0.2">
      <c r="C45" s="369" t="s">
        <v>145</v>
      </c>
      <c r="D45" s="365"/>
      <c r="E45" s="387">
        <f>SUM(E49,E50)</f>
        <v>69</v>
      </c>
      <c r="F45" s="387">
        <f>SUM(F49,F50)</f>
        <v>69</v>
      </c>
      <c r="G45" s="387">
        <f>SUM(G49:G50)</f>
        <v>63</v>
      </c>
      <c r="H45" s="387">
        <f>SUM(H49:H50)</f>
        <v>64</v>
      </c>
      <c r="I45" s="387">
        <f>SUM(I49,I50)</f>
        <v>59</v>
      </c>
      <c r="J45" s="387">
        <f>SUM(J49,J50)</f>
        <v>53</v>
      </c>
      <c r="K45" s="387">
        <f>SUM(K49:K50)</f>
        <v>63</v>
      </c>
      <c r="L45" s="387">
        <f>SUM(L49,L50)</f>
        <v>75</v>
      </c>
      <c r="M45" s="387">
        <f>SUM(M49,M50)</f>
        <v>80</v>
      </c>
      <c r="N45" s="387">
        <f>SUM(N49:N50)</f>
        <v>81</v>
      </c>
    </row>
    <row r="46" spans="3:14" s="363" customFormat="1" ht="14.25" x14ac:dyDescent="0.2">
      <c r="C46" s="364" t="s">
        <v>183</v>
      </c>
      <c r="D46" s="365"/>
      <c r="E46" s="366">
        <v>43</v>
      </c>
      <c r="F46" s="363">
        <v>48</v>
      </c>
      <c r="G46" s="363">
        <v>45</v>
      </c>
      <c r="H46" s="363">
        <v>52</v>
      </c>
      <c r="I46" s="363">
        <v>37</v>
      </c>
      <c r="J46" s="363">
        <v>38</v>
      </c>
      <c r="K46" s="363">
        <v>35</v>
      </c>
      <c r="L46" s="363">
        <v>34</v>
      </c>
      <c r="M46" s="367">
        <v>33</v>
      </c>
      <c r="N46" s="363">
        <v>35</v>
      </c>
    </row>
    <row r="47" spans="3:14" ht="14.25" x14ac:dyDescent="0.2">
      <c r="C47" s="364" t="s">
        <v>185</v>
      </c>
      <c r="D47" s="365"/>
      <c r="E47" s="388">
        <v>26</v>
      </c>
      <c r="F47" s="388">
        <v>21</v>
      </c>
      <c r="G47" s="388">
        <v>18</v>
      </c>
      <c r="H47" s="388">
        <v>12</v>
      </c>
      <c r="I47" s="388">
        <v>22</v>
      </c>
      <c r="J47" s="388">
        <v>15</v>
      </c>
      <c r="K47" s="388">
        <v>28</v>
      </c>
      <c r="L47" s="388">
        <v>41</v>
      </c>
      <c r="M47" s="352">
        <v>47</v>
      </c>
      <c r="N47" s="352">
        <v>46</v>
      </c>
    </row>
    <row r="48" spans="3:14" ht="14.25" x14ac:dyDescent="0.2">
      <c r="C48" s="364"/>
      <c r="D48" s="365"/>
      <c r="E48" s="388"/>
      <c r="F48" s="388"/>
      <c r="G48" s="388"/>
      <c r="H48" s="388"/>
      <c r="I48" s="388"/>
      <c r="J48" s="388"/>
      <c r="K48" s="388"/>
      <c r="L48" s="388"/>
    </row>
    <row r="49" spans="2:14" ht="14.25" x14ac:dyDescent="0.2">
      <c r="C49" s="375" t="s">
        <v>26</v>
      </c>
      <c r="D49" s="365"/>
      <c r="E49" s="385">
        <v>23</v>
      </c>
      <c r="F49" s="385">
        <v>25</v>
      </c>
      <c r="G49" s="385">
        <v>30</v>
      </c>
      <c r="H49" s="385">
        <v>29</v>
      </c>
      <c r="I49" s="385">
        <v>24</v>
      </c>
      <c r="J49" s="385">
        <v>24</v>
      </c>
      <c r="K49" s="385">
        <v>34</v>
      </c>
      <c r="L49" s="385">
        <v>37</v>
      </c>
      <c r="M49" s="352">
        <v>36</v>
      </c>
      <c r="N49" s="352">
        <v>45</v>
      </c>
    </row>
    <row r="50" spans="2:14" x14ac:dyDescent="0.2">
      <c r="C50" s="375" t="s">
        <v>25</v>
      </c>
      <c r="D50" s="368"/>
      <c r="E50" s="366">
        <v>46</v>
      </c>
      <c r="F50" s="385">
        <v>44</v>
      </c>
      <c r="G50" s="385">
        <v>33</v>
      </c>
      <c r="H50" s="385">
        <v>35</v>
      </c>
      <c r="I50" s="385">
        <v>35</v>
      </c>
      <c r="J50" s="385">
        <v>29</v>
      </c>
      <c r="K50" s="385">
        <v>29</v>
      </c>
      <c r="L50" s="385">
        <v>38</v>
      </c>
      <c r="M50" s="352">
        <v>44</v>
      </c>
      <c r="N50" s="352">
        <v>36</v>
      </c>
    </row>
    <row r="51" spans="2:14" x14ac:dyDescent="0.2">
      <c r="C51" s="375"/>
      <c r="D51" s="368"/>
      <c r="E51" s="359"/>
    </row>
    <row r="52" spans="2:14" x14ac:dyDescent="0.2">
      <c r="C52" s="375"/>
      <c r="D52" s="379"/>
      <c r="E52" s="359"/>
    </row>
    <row r="53" spans="2:14" s="363" customFormat="1" ht="14.25" x14ac:dyDescent="0.2">
      <c r="C53" s="375"/>
      <c r="D53" s="365"/>
      <c r="E53" s="366"/>
      <c r="M53" s="367"/>
    </row>
    <row r="54" spans="2:14" s="363" customFormat="1" ht="14.25" x14ac:dyDescent="0.2">
      <c r="C54" s="369" t="s">
        <v>149</v>
      </c>
      <c r="D54" s="365"/>
      <c r="E54" s="366"/>
      <c r="M54" s="367"/>
    </row>
    <row r="55" spans="2:14" ht="14.25" x14ac:dyDescent="0.2">
      <c r="C55" s="364" t="s">
        <v>183</v>
      </c>
      <c r="D55" s="365"/>
      <c r="E55" s="385">
        <v>8</v>
      </c>
      <c r="F55" s="385">
        <v>8</v>
      </c>
      <c r="G55" s="385">
        <v>9</v>
      </c>
      <c r="H55" s="385">
        <v>9</v>
      </c>
      <c r="I55" s="385">
        <v>12</v>
      </c>
      <c r="J55" s="385">
        <v>17</v>
      </c>
      <c r="K55" s="385">
        <v>17</v>
      </c>
      <c r="L55" s="385">
        <v>14</v>
      </c>
      <c r="M55" s="352">
        <v>14</v>
      </c>
      <c r="N55" s="352">
        <v>17</v>
      </c>
    </row>
    <row r="56" spans="2:14" ht="14.25" x14ac:dyDescent="0.2">
      <c r="C56" s="364" t="s">
        <v>185</v>
      </c>
      <c r="D56" s="365"/>
      <c r="E56" s="385">
        <v>3</v>
      </c>
      <c r="F56" s="385">
        <v>3</v>
      </c>
      <c r="G56" s="385">
        <v>3</v>
      </c>
      <c r="H56" s="385">
        <v>2</v>
      </c>
      <c r="I56" s="385">
        <v>2</v>
      </c>
      <c r="J56" s="385">
        <v>2</v>
      </c>
      <c r="K56" s="385">
        <v>3</v>
      </c>
      <c r="L56" s="385">
        <v>2</v>
      </c>
      <c r="M56" s="352">
        <v>2</v>
      </c>
      <c r="N56" s="352">
        <v>2</v>
      </c>
    </row>
    <row r="57" spans="2:14" ht="14.25" x14ac:dyDescent="0.2">
      <c r="C57" s="364"/>
      <c r="D57" s="365"/>
      <c r="E57" s="385"/>
      <c r="F57" s="385"/>
      <c r="G57" s="385"/>
      <c r="H57" s="385"/>
      <c r="I57" s="385"/>
      <c r="J57" s="385"/>
      <c r="K57" s="385"/>
      <c r="L57" s="385"/>
    </row>
    <row r="58" spans="2:14" x14ac:dyDescent="0.2">
      <c r="B58" s="359"/>
      <c r="C58" s="375" t="s">
        <v>26</v>
      </c>
      <c r="D58" s="368"/>
      <c r="E58" s="385">
        <v>11</v>
      </c>
      <c r="F58" s="385">
        <v>11</v>
      </c>
      <c r="G58" s="385">
        <v>11</v>
      </c>
      <c r="H58" s="385">
        <v>11</v>
      </c>
      <c r="I58" s="385">
        <v>14</v>
      </c>
      <c r="J58" s="385">
        <v>19</v>
      </c>
      <c r="K58" s="385">
        <v>20</v>
      </c>
      <c r="L58" s="385">
        <v>16</v>
      </c>
      <c r="M58" s="352">
        <v>16</v>
      </c>
      <c r="N58" s="352">
        <v>19</v>
      </c>
    </row>
    <row r="59" spans="2:14" x14ac:dyDescent="0.2">
      <c r="B59" s="389"/>
      <c r="C59" s="390" t="s">
        <v>25</v>
      </c>
      <c r="D59" s="391"/>
      <c r="E59" s="389">
        <v>0</v>
      </c>
      <c r="F59" s="392">
        <v>0</v>
      </c>
      <c r="G59" s="392">
        <v>0</v>
      </c>
      <c r="H59" s="392">
        <v>0</v>
      </c>
      <c r="I59" s="392">
        <v>0</v>
      </c>
      <c r="J59" s="392">
        <v>0</v>
      </c>
      <c r="K59" s="392">
        <v>0</v>
      </c>
      <c r="L59" s="392">
        <v>0</v>
      </c>
      <c r="M59" s="392">
        <v>0</v>
      </c>
      <c r="N59" s="392">
        <v>0</v>
      </c>
    </row>
    <row r="60" spans="2:14" x14ac:dyDescent="0.2">
      <c r="B60" s="359"/>
      <c r="C60" s="393"/>
      <c r="D60" s="368"/>
      <c r="E60" s="359"/>
    </row>
    <row r="61" spans="2:14" x14ac:dyDescent="0.2">
      <c r="B61" s="359"/>
      <c r="C61" s="394" t="s">
        <v>119</v>
      </c>
      <c r="D61" s="359"/>
    </row>
    <row r="62" spans="2:14" ht="48.75" customHeight="1" x14ac:dyDescent="0.2">
      <c r="B62" s="395">
        <v>1</v>
      </c>
      <c r="C62" s="587" t="s">
        <v>186</v>
      </c>
      <c r="D62" s="587"/>
    </row>
    <row r="63" spans="2:14" ht="14.25" x14ac:dyDescent="0.2">
      <c r="B63" s="396"/>
      <c r="C63" s="359"/>
      <c r="D63" s="359"/>
    </row>
    <row r="64" spans="2:14" ht="19.5" customHeight="1" x14ac:dyDescent="0.2">
      <c r="B64" s="396"/>
      <c r="C64" s="393" t="s">
        <v>283</v>
      </c>
      <c r="D64" s="359"/>
    </row>
    <row r="65" spans="2:5" ht="14.25" x14ac:dyDescent="0.2">
      <c r="B65" s="397"/>
    </row>
    <row r="66" spans="2:5" x14ac:dyDescent="0.2">
      <c r="C66" s="398"/>
    </row>
    <row r="67" spans="2:5" x14ac:dyDescent="0.2">
      <c r="C67" s="398"/>
    </row>
    <row r="68" spans="2:5" x14ac:dyDescent="0.2">
      <c r="B68" s="356"/>
      <c r="C68" s="356"/>
    </row>
    <row r="69" spans="2:5" ht="9" customHeight="1" x14ac:dyDescent="0.2"/>
    <row r="70" spans="2:5" x14ac:dyDescent="0.2">
      <c r="B70" s="356"/>
      <c r="C70" s="356"/>
      <c r="D70" s="356"/>
      <c r="E70" s="356"/>
    </row>
  </sheetData>
  <mergeCells count="4">
    <mergeCell ref="H2:K2"/>
    <mergeCell ref="C62:D62"/>
    <mergeCell ref="C12:D12"/>
    <mergeCell ref="C9:L9"/>
  </mergeCells>
  <phoneticPr fontId="0" type="noConversion"/>
  <pageMargins left="0.98425196850393704" right="0.98425196850393704" top="0.98425196850393704" bottom="0.98425196850393704" header="0.51181102362204722" footer="0.51181102362204722"/>
  <pageSetup scale="57" orientation="portrait" r:id="rId1"/>
  <headerFooter alignWithMargins="0"/>
  <ignoredErrors>
    <ignoredError sqref="J20 I29:J29 K45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1508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1</xdr:col>
                <xdr:colOff>409575</xdr:colOff>
                <xdr:row>3</xdr:row>
                <xdr:rowOff>57150</xdr:rowOff>
              </to>
            </anchor>
          </objectPr>
        </oleObject>
      </mc:Choice>
      <mc:Fallback>
        <oleObject progId="MSPhotoEd.3" shapeId="2150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  <pageSetUpPr fitToPage="1"/>
  </sheetPr>
  <dimension ref="B2:M74"/>
  <sheetViews>
    <sheetView zoomScaleNormal="100" zoomScaleSheetLayoutView="81" workbookViewId="0">
      <pane xSplit="3" topLeftCell="D1" activePane="topRight" state="frozen"/>
      <selection activeCell="A15" sqref="A15"/>
      <selection pane="topRight" activeCell="O2" sqref="O2"/>
    </sheetView>
  </sheetViews>
  <sheetFormatPr defaultColWidth="9.140625" defaultRowHeight="14.25" x14ac:dyDescent="0.2"/>
  <cols>
    <col min="1" max="1" width="9.140625" style="399"/>
    <col min="2" max="2" width="6.85546875" style="399" customWidth="1"/>
    <col min="3" max="3" width="33.42578125" style="351" customWidth="1"/>
    <col min="4" max="16384" width="9.140625" style="399"/>
  </cols>
  <sheetData>
    <row r="2" spans="2:13" x14ac:dyDescent="0.2">
      <c r="H2" s="586" t="s">
        <v>349</v>
      </c>
      <c r="I2" s="586"/>
      <c r="J2" s="586"/>
      <c r="K2" s="586"/>
    </row>
    <row r="5" spans="2:13" s="351" customFormat="1" ht="9" customHeight="1" x14ac:dyDescent="0.2"/>
    <row r="6" spans="2:13" s="351" customFormat="1" ht="12.75" x14ac:dyDescent="0.2">
      <c r="M6" s="400"/>
    </row>
    <row r="7" spans="2:13" s="351" customFormat="1" ht="15.75" x14ac:dyDescent="0.25">
      <c r="C7" s="589" t="s">
        <v>358</v>
      </c>
      <c r="D7" s="589"/>
      <c r="E7" s="589"/>
      <c r="F7" s="589"/>
      <c r="G7" s="589"/>
      <c r="H7" s="589"/>
      <c r="I7" s="589"/>
      <c r="J7" s="589"/>
      <c r="K7" s="589"/>
      <c r="L7" s="589"/>
      <c r="M7" s="400"/>
    </row>
    <row r="8" spans="2:13" s="351" customFormat="1" ht="15.75" x14ac:dyDescent="0.25">
      <c r="D8" s="354"/>
      <c r="E8" s="354"/>
      <c r="F8" s="354"/>
      <c r="G8" s="354"/>
      <c r="H8" s="354"/>
      <c r="I8" s="354"/>
      <c r="J8" s="354"/>
      <c r="M8" s="400"/>
    </row>
    <row r="9" spans="2:13" s="404" customFormat="1" ht="15" customHeight="1" x14ac:dyDescent="0.25">
      <c r="B9" s="401" t="s">
        <v>224</v>
      </c>
      <c r="C9" s="402"/>
      <c r="D9" s="402"/>
      <c r="E9" s="402"/>
      <c r="F9" s="403"/>
    </row>
    <row r="10" spans="2:13" s="404" customFormat="1" ht="15" x14ac:dyDescent="0.25">
      <c r="C10" s="351"/>
      <c r="D10" s="403"/>
      <c r="E10" s="403"/>
    </row>
    <row r="11" spans="2:13" s="404" customFormat="1" ht="15" x14ac:dyDescent="0.25">
      <c r="B11" s="351"/>
    </row>
    <row r="12" spans="2:13" x14ac:dyDescent="0.2">
      <c r="C12" s="405" t="s">
        <v>198</v>
      </c>
      <c r="D12" s="406">
        <v>2014</v>
      </c>
      <c r="E12" s="406">
        <v>2015</v>
      </c>
      <c r="F12" s="406">
        <v>2016</v>
      </c>
      <c r="G12" s="406">
        <v>2017</v>
      </c>
      <c r="H12" s="406">
        <v>2018</v>
      </c>
      <c r="I12" s="406">
        <v>2019</v>
      </c>
      <c r="J12" s="406">
        <v>2020</v>
      </c>
      <c r="K12" s="406">
        <v>2021</v>
      </c>
      <c r="L12" s="406">
        <v>2022</v>
      </c>
      <c r="M12" s="406">
        <v>2023</v>
      </c>
    </row>
    <row r="13" spans="2:13" x14ac:dyDescent="0.2">
      <c r="C13" s="407"/>
      <c r="D13" s="408"/>
      <c r="E13" s="408"/>
      <c r="F13" s="408"/>
      <c r="G13" s="408"/>
      <c r="H13" s="408"/>
      <c r="I13" s="408"/>
      <c r="J13" s="408"/>
      <c r="K13" s="408"/>
    </row>
    <row r="14" spans="2:13" ht="15" x14ac:dyDescent="0.25">
      <c r="C14" s="407" t="s">
        <v>199</v>
      </c>
      <c r="D14" s="409">
        <f t="shared" ref="D14:J20" si="0">SUM(D22,D30,D38,D46,D54,D62)</f>
        <v>2018</v>
      </c>
      <c r="E14" s="409">
        <f t="shared" si="0"/>
        <v>1854</v>
      </c>
      <c r="F14" s="409">
        <f t="shared" si="0"/>
        <v>1994</v>
      </c>
      <c r="G14" s="409">
        <v>2071</v>
      </c>
      <c r="H14" s="409">
        <f t="shared" si="0"/>
        <v>1966</v>
      </c>
      <c r="I14" s="409">
        <f t="shared" si="0"/>
        <v>1929</v>
      </c>
      <c r="J14" s="409">
        <f>SUM(J22,J30,J38,J46,J54,J62)</f>
        <v>1780</v>
      </c>
      <c r="K14" s="409">
        <f t="shared" ref="K14:M19" si="1">SUM(K22,K30,K38,K46,K54,K62)</f>
        <v>2005</v>
      </c>
      <c r="L14" s="410">
        <f t="shared" si="1"/>
        <v>2056</v>
      </c>
      <c r="M14" s="409">
        <f>SUM(M22,M30,M38,M46,M54,M62)</f>
        <v>2082</v>
      </c>
    </row>
    <row r="15" spans="2:13" ht="15" x14ac:dyDescent="0.25">
      <c r="C15" s="411" t="s">
        <v>183</v>
      </c>
      <c r="D15" s="409">
        <f t="shared" si="0"/>
        <v>1226</v>
      </c>
      <c r="E15" s="409">
        <f t="shared" si="0"/>
        <v>1180</v>
      </c>
      <c r="F15" s="409">
        <f>SUM(F23,F31,F39,F47,F55,F63)</f>
        <v>1183</v>
      </c>
      <c r="G15" s="409">
        <f t="shared" si="0"/>
        <v>1374</v>
      </c>
      <c r="H15" s="409">
        <f t="shared" si="0"/>
        <v>1323</v>
      </c>
      <c r="I15" s="409">
        <f t="shared" si="0"/>
        <v>1193</v>
      </c>
      <c r="J15" s="409">
        <f>SUM(J23,J31,J39,J47,J55,J63)</f>
        <v>980</v>
      </c>
      <c r="K15" s="409">
        <f t="shared" si="1"/>
        <v>1051</v>
      </c>
      <c r="L15" s="410">
        <f t="shared" si="1"/>
        <v>1049</v>
      </c>
      <c r="M15" s="409">
        <f>SUM(M23,M31,M39,M47,M55,M63)</f>
        <v>1130</v>
      </c>
    </row>
    <row r="16" spans="2:13" x14ac:dyDescent="0.2">
      <c r="C16" s="411" t="s">
        <v>184</v>
      </c>
      <c r="D16" s="412">
        <f t="shared" si="0"/>
        <v>480</v>
      </c>
      <c r="E16" s="412">
        <f t="shared" si="0"/>
        <v>359</v>
      </c>
      <c r="F16" s="412">
        <f>SUM(F24,F32,F40,F48,F56,F64)</f>
        <v>509</v>
      </c>
      <c r="G16" s="412">
        <f t="shared" si="0"/>
        <v>422</v>
      </c>
      <c r="H16" s="412">
        <f t="shared" si="0"/>
        <v>393</v>
      </c>
      <c r="I16" s="412">
        <f t="shared" si="0"/>
        <v>470</v>
      </c>
      <c r="J16" s="412">
        <f t="shared" si="0"/>
        <v>558</v>
      </c>
      <c r="K16" s="412">
        <f t="shared" si="1"/>
        <v>668</v>
      </c>
      <c r="L16" s="413">
        <f>SUM(L24,L32,L40,L48,L56,L64)</f>
        <v>704</v>
      </c>
      <c r="M16" s="412">
        <f>SUM(M24,M32,M40,M48,M56,M64)</f>
        <v>637</v>
      </c>
    </row>
    <row r="17" spans="3:13" x14ac:dyDescent="0.2">
      <c r="C17" s="411" t="s">
        <v>185</v>
      </c>
      <c r="D17" s="414">
        <v>312</v>
      </c>
      <c r="E17" s="412">
        <f t="shared" si="0"/>
        <v>315</v>
      </c>
      <c r="F17" s="412">
        <v>302</v>
      </c>
      <c r="G17" s="412">
        <v>275</v>
      </c>
      <c r="H17" s="412">
        <f t="shared" si="0"/>
        <v>250</v>
      </c>
      <c r="I17" s="412">
        <f t="shared" si="0"/>
        <v>266</v>
      </c>
      <c r="J17" s="412">
        <f t="shared" si="0"/>
        <v>242</v>
      </c>
      <c r="K17" s="412">
        <v>313</v>
      </c>
      <c r="L17" s="413">
        <f>SUM(L25,L33,L41,L49,L57,L65)</f>
        <v>303</v>
      </c>
      <c r="M17" s="412">
        <f>SUM(M25,M33,M41,M49,M57,M65)</f>
        <v>315</v>
      </c>
    </row>
    <row r="18" spans="3:13" x14ac:dyDescent="0.2">
      <c r="C18" s="415" t="s">
        <v>26</v>
      </c>
      <c r="D18" s="412">
        <f t="shared" si="0"/>
        <v>944</v>
      </c>
      <c r="E18" s="412">
        <f t="shared" si="0"/>
        <v>880</v>
      </c>
      <c r="F18" s="412">
        <f>SUM(F26,F34,F42,F50,F58,F66)</f>
        <v>975</v>
      </c>
      <c r="G18" s="412">
        <f t="shared" ref="G18:I20" si="2">SUM(G26,G34,G42,G50,G58,G66)</f>
        <v>1053</v>
      </c>
      <c r="H18" s="412">
        <f t="shared" si="2"/>
        <v>979</v>
      </c>
      <c r="I18" s="412">
        <f t="shared" si="2"/>
        <v>919</v>
      </c>
      <c r="J18" s="412">
        <f t="shared" si="0"/>
        <v>925</v>
      </c>
      <c r="K18" s="412">
        <f t="shared" si="1"/>
        <v>986</v>
      </c>
      <c r="L18" s="413">
        <f t="shared" si="1"/>
        <v>987</v>
      </c>
      <c r="M18" s="412">
        <f t="shared" si="1"/>
        <v>996</v>
      </c>
    </row>
    <row r="19" spans="3:13" x14ac:dyDescent="0.2">
      <c r="C19" s="415" t="s">
        <v>25</v>
      </c>
      <c r="D19" s="412">
        <f t="shared" si="0"/>
        <v>1074</v>
      </c>
      <c r="E19" s="412">
        <f t="shared" si="0"/>
        <v>974</v>
      </c>
      <c r="F19" s="412">
        <f>SUM(F27,F35,F43,F51,F59,F67)</f>
        <v>1019</v>
      </c>
      <c r="G19" s="412">
        <f t="shared" si="2"/>
        <v>1053</v>
      </c>
      <c r="H19" s="412">
        <f t="shared" si="2"/>
        <v>987</v>
      </c>
      <c r="I19" s="412">
        <f t="shared" si="2"/>
        <v>1010</v>
      </c>
      <c r="J19" s="412">
        <f t="shared" si="0"/>
        <v>855</v>
      </c>
      <c r="K19" s="412">
        <f t="shared" si="1"/>
        <v>1019</v>
      </c>
      <c r="L19" s="413">
        <f t="shared" si="1"/>
        <v>1069</v>
      </c>
      <c r="M19" s="412">
        <f t="shared" si="1"/>
        <v>1086</v>
      </c>
    </row>
    <row r="20" spans="3:13" ht="15" x14ac:dyDescent="0.25">
      <c r="C20" s="416" t="s">
        <v>225</v>
      </c>
      <c r="D20" s="409">
        <f t="shared" si="0"/>
        <v>42</v>
      </c>
      <c r="E20" s="409">
        <f t="shared" si="0"/>
        <v>39</v>
      </c>
      <c r="F20" s="409">
        <f>SUM(F28,F36,F44,F52,F60,F68)</f>
        <v>26</v>
      </c>
      <c r="G20" s="409">
        <f t="shared" si="2"/>
        <v>26</v>
      </c>
      <c r="H20" s="409">
        <f t="shared" si="2"/>
        <v>41</v>
      </c>
      <c r="I20" s="409">
        <f t="shared" si="2"/>
        <v>39</v>
      </c>
      <c r="J20" s="409">
        <f t="shared" si="0"/>
        <v>48</v>
      </c>
      <c r="K20" s="409">
        <v>48</v>
      </c>
      <c r="L20" s="410">
        <v>49</v>
      </c>
      <c r="M20" s="409">
        <f>SUM(M28,M36,M44,M52,M60,M68)</f>
        <v>43</v>
      </c>
    </row>
    <row r="21" spans="3:13" x14ac:dyDescent="0.2">
      <c r="C21" s="407"/>
      <c r="D21" s="414"/>
      <c r="E21" s="414"/>
      <c r="F21" s="414"/>
      <c r="G21" s="414"/>
      <c r="H21" s="414"/>
      <c r="I21" s="414"/>
      <c r="J21" s="414"/>
      <c r="K21" s="414"/>
      <c r="L21" s="417"/>
    </row>
    <row r="22" spans="3:13" ht="15" x14ac:dyDescent="0.25">
      <c r="C22" s="407" t="s">
        <v>154</v>
      </c>
      <c r="D22" s="418">
        <f>IF(SUM(D23:D25)&lt;&gt;SUM(D26:D27),"ERROR",SUM(D23:D25))</f>
        <v>1544</v>
      </c>
      <c r="E22" s="418">
        <f>IF(SUM(E23:E25)&lt;&gt;SUM(E26:E27),"ERROR",SUM(E23:E25))</f>
        <v>1401</v>
      </c>
      <c r="F22" s="418">
        <f>IF(SUM(F23:F25)&lt;&gt;SUM(F26:F27),"ERROR",SUM(F23:F25))</f>
        <v>1555</v>
      </c>
      <c r="G22" s="418">
        <v>1652</v>
      </c>
      <c r="H22" s="418">
        <f t="shared" ref="H22:M22" si="3">IF(SUM(H23:H25)&lt;&gt;SUM(H26:H27),"ERROR",SUM(H23:H25))</f>
        <v>1622</v>
      </c>
      <c r="I22" s="418">
        <f t="shared" si="3"/>
        <v>1565</v>
      </c>
      <c r="J22" s="418">
        <f t="shared" si="3"/>
        <v>1458</v>
      </c>
      <c r="K22" s="418">
        <f t="shared" si="3"/>
        <v>1625</v>
      </c>
      <c r="L22" s="419">
        <f t="shared" si="3"/>
        <v>1643</v>
      </c>
      <c r="M22" s="418">
        <f t="shared" si="3"/>
        <v>1645</v>
      </c>
    </row>
    <row r="23" spans="3:13" x14ac:dyDescent="0.2">
      <c r="C23" s="411" t="s">
        <v>183</v>
      </c>
      <c r="D23" s="414">
        <v>999</v>
      </c>
      <c r="E23" s="414">
        <v>965</v>
      </c>
      <c r="F23" s="414">
        <v>981</v>
      </c>
      <c r="G23" s="414">
        <v>1160</v>
      </c>
      <c r="H23" s="414">
        <v>1160</v>
      </c>
      <c r="I23" s="414">
        <v>1016</v>
      </c>
      <c r="J23" s="414">
        <v>828</v>
      </c>
      <c r="K23" s="414">
        <v>865</v>
      </c>
      <c r="L23" s="417">
        <v>847</v>
      </c>
      <c r="M23" s="399">
        <v>922</v>
      </c>
    </row>
    <row r="24" spans="3:13" x14ac:dyDescent="0.2">
      <c r="C24" s="411" t="s">
        <v>184</v>
      </c>
      <c r="D24" s="414">
        <v>464</v>
      </c>
      <c r="E24" s="414">
        <v>348</v>
      </c>
      <c r="F24" s="414">
        <v>492</v>
      </c>
      <c r="G24" s="414">
        <v>404</v>
      </c>
      <c r="H24" s="414">
        <v>376</v>
      </c>
      <c r="I24" s="414">
        <v>449</v>
      </c>
      <c r="J24" s="414">
        <v>541</v>
      </c>
      <c r="K24" s="414">
        <v>658</v>
      </c>
      <c r="L24" s="417">
        <v>696</v>
      </c>
      <c r="M24" s="399">
        <v>619</v>
      </c>
    </row>
    <row r="25" spans="3:13" x14ac:dyDescent="0.2">
      <c r="C25" s="411" t="s">
        <v>185</v>
      </c>
      <c r="D25" s="414">
        <v>81</v>
      </c>
      <c r="E25" s="414">
        <v>88</v>
      </c>
      <c r="F25" s="414">
        <v>82</v>
      </c>
      <c r="G25" s="414">
        <v>88</v>
      </c>
      <c r="H25" s="414">
        <v>86</v>
      </c>
      <c r="I25" s="414">
        <v>100</v>
      </c>
      <c r="J25" s="414">
        <v>89</v>
      </c>
      <c r="K25" s="414">
        <v>102</v>
      </c>
      <c r="L25" s="417">
        <v>100</v>
      </c>
      <c r="M25" s="399">
        <v>104</v>
      </c>
    </row>
    <row r="26" spans="3:13" x14ac:dyDescent="0.2">
      <c r="C26" s="415" t="s">
        <v>26</v>
      </c>
      <c r="D26" s="414">
        <v>724</v>
      </c>
      <c r="E26" s="414">
        <v>679</v>
      </c>
      <c r="F26" s="414">
        <v>777</v>
      </c>
      <c r="G26" s="414">
        <v>841</v>
      </c>
      <c r="H26" s="414">
        <v>806</v>
      </c>
      <c r="I26" s="326">
        <v>749</v>
      </c>
      <c r="J26" s="414">
        <v>758</v>
      </c>
      <c r="K26" s="414">
        <v>813</v>
      </c>
      <c r="L26" s="417">
        <v>789</v>
      </c>
      <c r="M26" s="399">
        <v>796</v>
      </c>
    </row>
    <row r="27" spans="3:13" x14ac:dyDescent="0.2">
      <c r="C27" s="415" t="s">
        <v>25</v>
      </c>
      <c r="D27" s="414">
        <v>820</v>
      </c>
      <c r="E27" s="414">
        <v>722</v>
      </c>
      <c r="F27" s="414">
        <v>778</v>
      </c>
      <c r="G27" s="414">
        <v>846</v>
      </c>
      <c r="H27" s="414">
        <v>816</v>
      </c>
      <c r="I27" s="326">
        <v>816</v>
      </c>
      <c r="J27" s="414">
        <v>700</v>
      </c>
      <c r="K27" s="414">
        <v>812</v>
      </c>
      <c r="L27" s="417">
        <v>854</v>
      </c>
      <c r="M27" s="399">
        <v>849</v>
      </c>
    </row>
    <row r="28" spans="3:13" x14ac:dyDescent="0.2">
      <c r="C28" s="416" t="s">
        <v>225</v>
      </c>
      <c r="D28" s="414">
        <v>26</v>
      </c>
      <c r="E28" s="414">
        <v>26</v>
      </c>
      <c r="F28" s="414">
        <v>26</v>
      </c>
      <c r="G28" s="414">
        <v>26</v>
      </c>
      <c r="H28" s="414">
        <v>26</v>
      </c>
      <c r="I28" s="420">
        <v>28</v>
      </c>
      <c r="J28" s="414">
        <v>34</v>
      </c>
      <c r="K28" s="414">
        <v>34</v>
      </c>
      <c r="L28" s="421">
        <v>34</v>
      </c>
      <c r="M28" s="422">
        <v>29</v>
      </c>
    </row>
    <row r="29" spans="3:13" x14ac:dyDescent="0.2">
      <c r="C29" s="416"/>
      <c r="D29" s="414"/>
      <c r="E29" s="414"/>
      <c r="F29" s="414"/>
      <c r="G29" s="414"/>
      <c r="H29" s="414"/>
      <c r="I29" s="414"/>
      <c r="J29" s="414"/>
      <c r="K29" s="414"/>
      <c r="L29" s="417"/>
    </row>
    <row r="30" spans="3:13" ht="15" x14ac:dyDescent="0.25">
      <c r="C30" s="407" t="s">
        <v>155</v>
      </c>
      <c r="D30" s="418">
        <f t="shared" ref="D30:M30" si="4">IF(SUM(D31:D33)&lt;&gt;SUM(D34:D35),"ERROR",SUM(D31:D33))</f>
        <v>211</v>
      </c>
      <c r="E30" s="418">
        <f t="shared" si="4"/>
        <v>187</v>
      </c>
      <c r="F30" s="418">
        <f t="shared" si="4"/>
        <v>180</v>
      </c>
      <c r="G30" s="418">
        <f t="shared" si="4"/>
        <v>178</v>
      </c>
      <c r="H30" s="418">
        <f t="shared" si="4"/>
        <v>158</v>
      </c>
      <c r="I30" s="418">
        <f t="shared" si="4"/>
        <v>147</v>
      </c>
      <c r="J30" s="418">
        <f t="shared" si="4"/>
        <v>114</v>
      </c>
      <c r="K30" s="418">
        <f t="shared" si="4"/>
        <v>143</v>
      </c>
      <c r="L30" s="419">
        <f t="shared" si="4"/>
        <v>152</v>
      </c>
      <c r="M30" s="418">
        <f t="shared" si="4"/>
        <v>167</v>
      </c>
    </row>
    <row r="31" spans="3:13" x14ac:dyDescent="0.2">
      <c r="C31" s="411" t="s">
        <v>183</v>
      </c>
      <c r="D31" s="414">
        <v>128</v>
      </c>
      <c r="E31" s="414">
        <v>96</v>
      </c>
      <c r="F31" s="414">
        <v>91</v>
      </c>
      <c r="G31" s="414">
        <v>97</v>
      </c>
      <c r="H31" s="414">
        <v>87</v>
      </c>
      <c r="I31" s="414">
        <v>67</v>
      </c>
      <c r="J31" s="414">
        <v>50</v>
      </c>
      <c r="K31" s="414">
        <v>78</v>
      </c>
      <c r="L31" s="417">
        <v>87</v>
      </c>
      <c r="M31" s="399">
        <v>90</v>
      </c>
    </row>
    <row r="32" spans="3:13" x14ac:dyDescent="0.2">
      <c r="C32" s="411" t="s">
        <v>184</v>
      </c>
      <c r="D32" s="414">
        <v>16</v>
      </c>
      <c r="E32" s="414">
        <v>11</v>
      </c>
      <c r="F32" s="414">
        <v>17</v>
      </c>
      <c r="G32" s="414">
        <v>18</v>
      </c>
      <c r="H32" s="414">
        <v>17</v>
      </c>
      <c r="I32" s="414">
        <v>21</v>
      </c>
      <c r="J32" s="414">
        <v>17</v>
      </c>
      <c r="K32" s="414">
        <v>10</v>
      </c>
      <c r="L32" s="417">
        <v>8</v>
      </c>
      <c r="M32" s="399">
        <v>18</v>
      </c>
    </row>
    <row r="33" spans="3:13" x14ac:dyDescent="0.2">
      <c r="C33" s="411" t="s">
        <v>185</v>
      </c>
      <c r="D33" s="414">
        <v>67</v>
      </c>
      <c r="E33" s="414">
        <v>80</v>
      </c>
      <c r="F33" s="414">
        <v>72</v>
      </c>
      <c r="G33" s="414">
        <v>63</v>
      </c>
      <c r="H33" s="414">
        <v>54</v>
      </c>
      <c r="I33" s="414">
        <v>59</v>
      </c>
      <c r="J33" s="414">
        <v>47</v>
      </c>
      <c r="K33" s="414">
        <v>55</v>
      </c>
      <c r="L33" s="417">
        <v>57</v>
      </c>
      <c r="M33" s="399">
        <v>59</v>
      </c>
    </row>
    <row r="34" spans="3:13" x14ac:dyDescent="0.2">
      <c r="C34" s="415" t="s">
        <v>26</v>
      </c>
      <c r="D34" s="414">
        <v>106</v>
      </c>
      <c r="E34" s="414">
        <v>81</v>
      </c>
      <c r="F34" s="414">
        <v>86</v>
      </c>
      <c r="G34" s="414">
        <v>97</v>
      </c>
      <c r="H34" s="414">
        <v>82</v>
      </c>
      <c r="I34" s="423">
        <v>73</v>
      </c>
      <c r="J34" s="414">
        <v>61</v>
      </c>
      <c r="K34" s="414">
        <v>64</v>
      </c>
      <c r="L34" s="417">
        <v>74</v>
      </c>
      <c r="M34" s="399">
        <v>72</v>
      </c>
    </row>
    <row r="35" spans="3:13" x14ac:dyDescent="0.2">
      <c r="C35" s="415" t="s">
        <v>25</v>
      </c>
      <c r="D35" s="414">
        <v>105</v>
      </c>
      <c r="E35" s="414">
        <v>106</v>
      </c>
      <c r="F35" s="414">
        <v>94</v>
      </c>
      <c r="G35" s="414">
        <v>81</v>
      </c>
      <c r="H35" s="414">
        <v>76</v>
      </c>
      <c r="I35" s="424">
        <v>74</v>
      </c>
      <c r="J35" s="414">
        <v>53</v>
      </c>
      <c r="K35" s="414">
        <v>79</v>
      </c>
      <c r="L35" s="417">
        <v>78</v>
      </c>
      <c r="M35" s="399">
        <v>95</v>
      </c>
    </row>
    <row r="36" spans="3:13" x14ac:dyDescent="0.2">
      <c r="C36" s="416" t="s">
        <v>225</v>
      </c>
      <c r="D36" s="414">
        <v>6</v>
      </c>
      <c r="E36" s="414">
        <v>5</v>
      </c>
      <c r="F36" s="425">
        <v>0</v>
      </c>
      <c r="G36" s="425">
        <v>0</v>
      </c>
      <c r="H36" s="414">
        <v>5</v>
      </c>
      <c r="I36" s="414">
        <v>5</v>
      </c>
      <c r="J36" s="414">
        <v>5</v>
      </c>
      <c r="K36" s="414">
        <v>5</v>
      </c>
      <c r="L36" s="417">
        <v>5</v>
      </c>
      <c r="M36" s="399">
        <v>5</v>
      </c>
    </row>
    <row r="37" spans="3:13" x14ac:dyDescent="0.2">
      <c r="C37" s="416"/>
      <c r="D37" s="414"/>
      <c r="E37" s="414"/>
      <c r="F37" s="414"/>
      <c r="G37" s="414"/>
      <c r="H37" s="414"/>
      <c r="I37" s="414"/>
      <c r="J37" s="414"/>
      <c r="K37" s="414"/>
      <c r="L37" s="417"/>
    </row>
    <row r="38" spans="3:13" ht="15" x14ac:dyDescent="0.25">
      <c r="C38" s="407" t="s">
        <v>156</v>
      </c>
      <c r="D38" s="418">
        <f t="shared" ref="D38:L38" si="5">IF(SUM(D39:D41)&lt;&gt;SUM(D42:D43),"ERROR",SUM(D39:D41))</f>
        <v>141</v>
      </c>
      <c r="E38" s="418">
        <f t="shared" si="5"/>
        <v>171</v>
      </c>
      <c r="F38" s="418">
        <f t="shared" si="5"/>
        <v>172</v>
      </c>
      <c r="G38" s="418">
        <f t="shared" si="5"/>
        <v>154</v>
      </c>
      <c r="H38" s="418">
        <f t="shared" si="5"/>
        <v>110</v>
      </c>
      <c r="I38" s="418">
        <f t="shared" si="5"/>
        <v>145</v>
      </c>
      <c r="J38" s="418">
        <f>IF(SUM(J39:J41)&lt;&gt;SUM(J42:J43),"ERROR",SUM(J39:J41))</f>
        <v>127</v>
      </c>
      <c r="K38" s="418">
        <f t="shared" si="5"/>
        <v>143</v>
      </c>
      <c r="L38" s="419">
        <f t="shared" si="5"/>
        <v>164</v>
      </c>
      <c r="M38" s="418">
        <f>IF(SUM(M39:M41)&lt;&gt;SUM(M42:M43),"ERROR",SUM(M39:M41))</f>
        <v>153</v>
      </c>
    </row>
    <row r="39" spans="3:13" x14ac:dyDescent="0.2">
      <c r="C39" s="411" t="s">
        <v>183</v>
      </c>
      <c r="D39" s="414">
        <v>43</v>
      </c>
      <c r="E39" s="414">
        <v>71</v>
      </c>
      <c r="F39" s="414">
        <v>66</v>
      </c>
      <c r="G39" s="414">
        <v>65</v>
      </c>
      <c r="H39" s="414">
        <v>39</v>
      </c>
      <c r="I39" s="414">
        <v>72</v>
      </c>
      <c r="J39" s="414">
        <v>67</v>
      </c>
      <c r="K39" s="414">
        <v>74</v>
      </c>
      <c r="L39" s="417">
        <v>82</v>
      </c>
      <c r="M39" s="399">
        <v>83</v>
      </c>
    </row>
    <row r="40" spans="3:13" x14ac:dyDescent="0.2">
      <c r="C40" s="411" t="s">
        <v>184</v>
      </c>
      <c r="D40" s="414"/>
      <c r="E40" s="414"/>
      <c r="F40" s="414"/>
      <c r="G40" s="414"/>
      <c r="H40" s="414"/>
      <c r="I40" s="414"/>
      <c r="J40" s="414"/>
      <c r="K40" s="414"/>
      <c r="L40" s="417"/>
    </row>
    <row r="41" spans="3:13" x14ac:dyDescent="0.2">
      <c r="C41" s="411" t="s">
        <v>185</v>
      </c>
      <c r="D41" s="414">
        <v>98</v>
      </c>
      <c r="E41" s="414">
        <v>100</v>
      </c>
      <c r="F41" s="414">
        <v>106</v>
      </c>
      <c r="G41" s="414">
        <v>89</v>
      </c>
      <c r="H41" s="414">
        <v>71</v>
      </c>
      <c r="I41" s="414">
        <v>73</v>
      </c>
      <c r="J41" s="414">
        <v>60</v>
      </c>
      <c r="K41" s="414">
        <v>69</v>
      </c>
      <c r="L41" s="417">
        <v>82</v>
      </c>
      <c r="M41" s="399">
        <v>70</v>
      </c>
    </row>
    <row r="42" spans="3:13" x14ac:dyDescent="0.2">
      <c r="C42" s="415" t="s">
        <v>26</v>
      </c>
      <c r="D42" s="414">
        <v>66</v>
      </c>
      <c r="E42" s="414">
        <v>81</v>
      </c>
      <c r="F42" s="414">
        <v>69</v>
      </c>
      <c r="G42" s="414">
        <v>74</v>
      </c>
      <c r="H42" s="414">
        <v>58</v>
      </c>
      <c r="I42" s="423">
        <v>66</v>
      </c>
      <c r="J42" s="414">
        <v>58</v>
      </c>
      <c r="K42" s="414">
        <v>63</v>
      </c>
      <c r="L42" s="417">
        <v>83</v>
      </c>
      <c r="M42" s="399">
        <v>76</v>
      </c>
    </row>
    <row r="43" spans="3:13" x14ac:dyDescent="0.2">
      <c r="C43" s="415" t="s">
        <v>25</v>
      </c>
      <c r="D43" s="414">
        <v>75</v>
      </c>
      <c r="E43" s="414">
        <v>90</v>
      </c>
      <c r="F43" s="414">
        <v>103</v>
      </c>
      <c r="G43" s="414">
        <v>80</v>
      </c>
      <c r="H43" s="414">
        <v>52</v>
      </c>
      <c r="I43" s="424">
        <v>79</v>
      </c>
      <c r="J43" s="414">
        <v>69</v>
      </c>
      <c r="K43" s="414">
        <v>80</v>
      </c>
      <c r="L43" s="417">
        <v>81</v>
      </c>
      <c r="M43" s="399">
        <v>77</v>
      </c>
    </row>
    <row r="44" spans="3:13" x14ac:dyDescent="0.2">
      <c r="C44" s="416" t="s">
        <v>225</v>
      </c>
      <c r="D44" s="414">
        <v>4</v>
      </c>
      <c r="E44" s="414">
        <v>3</v>
      </c>
      <c r="F44" s="425">
        <v>0</v>
      </c>
      <c r="G44" s="425">
        <v>0</v>
      </c>
      <c r="H44" s="414">
        <v>4</v>
      </c>
      <c r="I44" s="414"/>
      <c r="J44" s="414">
        <v>3</v>
      </c>
      <c r="K44" s="414">
        <v>4</v>
      </c>
      <c r="L44" s="417">
        <v>4</v>
      </c>
      <c r="M44" s="399">
        <v>4</v>
      </c>
    </row>
    <row r="45" spans="3:13" x14ac:dyDescent="0.2">
      <c r="C45" s="416"/>
      <c r="D45" s="414"/>
      <c r="E45" s="414"/>
      <c r="F45" s="414"/>
      <c r="G45" s="414"/>
      <c r="H45" s="414"/>
      <c r="I45" s="414"/>
      <c r="J45" s="414"/>
      <c r="K45" s="414"/>
      <c r="L45" s="417"/>
    </row>
    <row r="46" spans="3:13" ht="15" x14ac:dyDescent="0.25">
      <c r="C46" s="407" t="s">
        <v>157</v>
      </c>
      <c r="D46" s="418">
        <f t="shared" ref="D46:M46" si="6">IF(SUM(D47:D49)&lt;&gt;SUM(D50:D51),"ERROR",SUM(D47:D49))</f>
        <v>19</v>
      </c>
      <c r="E46" s="418">
        <f t="shared" si="6"/>
        <v>17</v>
      </c>
      <c r="F46" s="418">
        <f t="shared" si="6"/>
        <v>9</v>
      </c>
      <c r="G46" s="418">
        <f t="shared" si="6"/>
        <v>9</v>
      </c>
      <c r="H46" s="418">
        <f t="shared" si="6"/>
        <v>5</v>
      </c>
      <c r="I46" s="418">
        <f t="shared" si="6"/>
        <v>12</v>
      </c>
      <c r="J46" s="418">
        <f t="shared" si="6"/>
        <v>10</v>
      </c>
      <c r="K46" s="418">
        <f t="shared" si="6"/>
        <v>11</v>
      </c>
      <c r="L46" s="419">
        <f t="shared" si="6"/>
        <v>5</v>
      </c>
      <c r="M46" s="418">
        <f t="shared" si="6"/>
        <v>8</v>
      </c>
    </row>
    <row r="47" spans="3:13" x14ac:dyDescent="0.2">
      <c r="C47" s="411" t="s">
        <v>183</v>
      </c>
      <c r="D47" s="414"/>
      <c r="E47" s="414"/>
      <c r="F47" s="414"/>
      <c r="G47" s="414"/>
      <c r="H47" s="414"/>
      <c r="I47" s="414"/>
      <c r="J47" s="414"/>
      <c r="K47" s="414"/>
      <c r="L47" s="417"/>
    </row>
    <row r="48" spans="3:13" x14ac:dyDescent="0.2">
      <c r="C48" s="411" t="s">
        <v>184</v>
      </c>
      <c r="D48" s="414"/>
      <c r="E48" s="414"/>
      <c r="F48" s="414"/>
      <c r="G48" s="414"/>
      <c r="H48" s="414"/>
      <c r="I48" s="414"/>
      <c r="J48" s="414"/>
      <c r="K48" s="414"/>
      <c r="L48" s="417"/>
    </row>
    <row r="49" spans="3:13" x14ac:dyDescent="0.2">
      <c r="C49" s="411" t="s">
        <v>185</v>
      </c>
      <c r="D49" s="414">
        <v>19</v>
      </c>
      <c r="E49" s="414">
        <v>17</v>
      </c>
      <c r="F49" s="414">
        <v>9</v>
      </c>
      <c r="G49" s="414">
        <v>9</v>
      </c>
      <c r="H49" s="414">
        <v>5</v>
      </c>
      <c r="I49" s="414">
        <v>12</v>
      </c>
      <c r="J49" s="414">
        <v>10</v>
      </c>
      <c r="K49" s="414">
        <v>11</v>
      </c>
      <c r="L49" s="417">
        <v>5</v>
      </c>
      <c r="M49" s="399">
        <v>8</v>
      </c>
    </row>
    <row r="50" spans="3:13" x14ac:dyDescent="0.2">
      <c r="C50" s="415" t="s">
        <v>26</v>
      </c>
      <c r="D50" s="414">
        <v>11</v>
      </c>
      <c r="E50" s="414">
        <v>10</v>
      </c>
      <c r="F50" s="414">
        <v>4</v>
      </c>
      <c r="G50" s="414">
        <v>5</v>
      </c>
      <c r="H50" s="414">
        <v>3</v>
      </c>
      <c r="I50" s="414">
        <v>5</v>
      </c>
      <c r="J50" s="414">
        <v>8</v>
      </c>
      <c r="K50" s="414">
        <v>5</v>
      </c>
      <c r="L50" s="417">
        <v>1</v>
      </c>
      <c r="M50" s="399">
        <v>1</v>
      </c>
    </row>
    <row r="51" spans="3:13" x14ac:dyDescent="0.2">
      <c r="C51" s="415" t="s">
        <v>25</v>
      </c>
      <c r="D51" s="414">
        <v>8</v>
      </c>
      <c r="E51" s="414">
        <v>7</v>
      </c>
      <c r="F51" s="414">
        <v>5</v>
      </c>
      <c r="G51" s="414">
        <v>4</v>
      </c>
      <c r="H51" s="414">
        <v>2</v>
      </c>
      <c r="I51" s="414">
        <v>7</v>
      </c>
      <c r="J51" s="414">
        <v>2</v>
      </c>
      <c r="K51" s="414">
        <v>6</v>
      </c>
      <c r="L51" s="417">
        <v>4</v>
      </c>
      <c r="M51" s="399">
        <v>7</v>
      </c>
    </row>
    <row r="52" spans="3:13" x14ac:dyDescent="0.2">
      <c r="C52" s="416" t="s">
        <v>225</v>
      </c>
      <c r="D52" s="414"/>
      <c r="E52" s="414"/>
      <c r="F52" s="414"/>
      <c r="G52" s="414"/>
      <c r="H52" s="414">
        <v>1</v>
      </c>
      <c r="I52" s="414">
        <v>1</v>
      </c>
      <c r="J52" s="414">
        <v>1</v>
      </c>
      <c r="K52" s="414">
        <v>1</v>
      </c>
      <c r="L52" s="417">
        <v>1</v>
      </c>
      <c r="M52" s="399">
        <v>1</v>
      </c>
    </row>
    <row r="53" spans="3:13" x14ac:dyDescent="0.2">
      <c r="C53" s="416"/>
      <c r="D53" s="414"/>
      <c r="E53" s="414"/>
      <c r="F53" s="414"/>
      <c r="G53" s="414"/>
      <c r="H53" s="414"/>
      <c r="I53" s="414"/>
      <c r="J53" s="414"/>
      <c r="K53" s="414"/>
      <c r="L53" s="417"/>
    </row>
    <row r="54" spans="3:13" ht="15" x14ac:dyDescent="0.25">
      <c r="C54" s="407" t="s">
        <v>158</v>
      </c>
      <c r="D54" s="418">
        <f t="shared" ref="D54:M54" si="7">IF(SUM(D55:D57)&lt;&gt;SUM(D58:D59),"ERROR",SUM(D55:D57))</f>
        <v>34</v>
      </c>
      <c r="E54" s="418">
        <f t="shared" si="7"/>
        <v>9</v>
      </c>
      <c r="F54" s="418">
        <f t="shared" si="7"/>
        <v>15</v>
      </c>
      <c r="G54" s="418">
        <f t="shared" si="7"/>
        <v>14</v>
      </c>
      <c r="H54" s="418">
        <f t="shared" si="7"/>
        <v>12</v>
      </c>
      <c r="I54" s="418">
        <f t="shared" si="7"/>
        <v>7</v>
      </c>
      <c r="J54" s="418">
        <f t="shared" si="7"/>
        <v>8</v>
      </c>
      <c r="K54" s="418">
        <f t="shared" si="7"/>
        <v>8</v>
      </c>
      <c r="L54" s="419">
        <f t="shared" si="7"/>
        <v>12</v>
      </c>
      <c r="M54" s="418">
        <f t="shared" si="7"/>
        <v>28</v>
      </c>
    </row>
    <row r="55" spans="3:13" x14ac:dyDescent="0.2">
      <c r="C55" s="411" t="s">
        <v>183</v>
      </c>
      <c r="D55" s="414">
        <v>13</v>
      </c>
      <c r="E55" s="414"/>
      <c r="F55" s="414"/>
      <c r="G55" s="414"/>
      <c r="H55" s="414"/>
      <c r="I55" s="414"/>
      <c r="J55" s="414"/>
      <c r="K55" s="414"/>
      <c r="L55" s="417"/>
    </row>
    <row r="56" spans="3:13" x14ac:dyDescent="0.2">
      <c r="C56" s="411" t="s">
        <v>184</v>
      </c>
      <c r="D56" s="414"/>
      <c r="E56" s="414"/>
      <c r="F56" s="414"/>
      <c r="G56" s="414"/>
      <c r="H56" s="414"/>
      <c r="I56" s="414"/>
      <c r="J56" s="414"/>
      <c r="K56" s="414"/>
      <c r="L56" s="417"/>
    </row>
    <row r="57" spans="3:13" x14ac:dyDescent="0.2">
      <c r="C57" s="411" t="s">
        <v>185</v>
      </c>
      <c r="D57" s="414">
        <v>21</v>
      </c>
      <c r="E57" s="414">
        <v>9</v>
      </c>
      <c r="F57" s="414">
        <v>15</v>
      </c>
      <c r="G57" s="414">
        <v>14</v>
      </c>
      <c r="H57" s="414">
        <v>12</v>
      </c>
      <c r="I57" s="414">
        <v>7</v>
      </c>
      <c r="J57" s="414">
        <v>8</v>
      </c>
      <c r="K57" s="414">
        <v>8</v>
      </c>
      <c r="L57" s="417">
        <v>12</v>
      </c>
      <c r="M57" s="399">
        <v>28</v>
      </c>
    </row>
    <row r="58" spans="3:13" x14ac:dyDescent="0.2">
      <c r="C58" s="415" t="s">
        <v>26</v>
      </c>
      <c r="D58" s="414">
        <v>14</v>
      </c>
      <c r="E58" s="414">
        <v>4</v>
      </c>
      <c r="F58" s="414">
        <v>9</v>
      </c>
      <c r="G58" s="414">
        <v>7</v>
      </c>
      <c r="H58" s="414">
        <v>6</v>
      </c>
      <c r="I58" s="414">
        <v>2</v>
      </c>
      <c r="J58" s="414">
        <v>6</v>
      </c>
      <c r="K58" s="414">
        <v>4</v>
      </c>
      <c r="L58" s="417">
        <v>4</v>
      </c>
      <c r="M58" s="399">
        <v>12</v>
      </c>
    </row>
    <row r="59" spans="3:13" x14ac:dyDescent="0.2">
      <c r="C59" s="415" t="s">
        <v>25</v>
      </c>
      <c r="D59" s="414">
        <v>20</v>
      </c>
      <c r="E59" s="414">
        <v>5</v>
      </c>
      <c r="F59" s="414">
        <v>6</v>
      </c>
      <c r="G59" s="414">
        <v>7</v>
      </c>
      <c r="H59" s="414">
        <v>6</v>
      </c>
      <c r="I59" s="414">
        <v>5</v>
      </c>
      <c r="J59" s="414">
        <v>2</v>
      </c>
      <c r="K59" s="414">
        <v>4</v>
      </c>
      <c r="L59" s="417">
        <v>8</v>
      </c>
      <c r="M59" s="399">
        <v>16</v>
      </c>
    </row>
    <row r="60" spans="3:13" x14ac:dyDescent="0.2">
      <c r="C60" s="416" t="s">
        <v>225</v>
      </c>
      <c r="D60" s="414">
        <v>2</v>
      </c>
      <c r="E60" s="414">
        <v>1</v>
      </c>
      <c r="F60" s="426">
        <v>0</v>
      </c>
      <c r="G60" s="426">
        <v>0</v>
      </c>
      <c r="H60" s="414">
        <v>1</v>
      </c>
      <c r="I60" s="414">
        <v>1</v>
      </c>
      <c r="J60" s="414">
        <v>1</v>
      </c>
      <c r="K60" s="414">
        <v>1</v>
      </c>
      <c r="L60" s="417">
        <v>1</v>
      </c>
      <c r="M60" s="399">
        <v>1</v>
      </c>
    </row>
    <row r="61" spans="3:13" x14ac:dyDescent="0.2">
      <c r="C61" s="416"/>
      <c r="D61" s="414"/>
      <c r="E61" s="414"/>
      <c r="F61" s="414"/>
      <c r="G61" s="425"/>
      <c r="H61" s="414"/>
      <c r="I61" s="414"/>
      <c r="J61" s="414"/>
      <c r="K61" s="414"/>
      <c r="L61" s="417"/>
    </row>
    <row r="62" spans="3:13" ht="15" x14ac:dyDescent="0.25">
      <c r="C62" s="407" t="s">
        <v>200</v>
      </c>
      <c r="D62" s="418">
        <f t="shared" ref="D62:M62" si="8">IF(SUM(D63:D65)&lt;&gt;SUM(D66:D67),"ERROR",SUM(D63:D65))</f>
        <v>69</v>
      </c>
      <c r="E62" s="418">
        <f t="shared" si="8"/>
        <v>69</v>
      </c>
      <c r="F62" s="418">
        <f t="shared" si="8"/>
        <v>63</v>
      </c>
      <c r="G62" s="418">
        <f t="shared" si="8"/>
        <v>64</v>
      </c>
      <c r="H62" s="418">
        <f t="shared" si="8"/>
        <v>59</v>
      </c>
      <c r="I62" s="418">
        <f t="shared" si="8"/>
        <v>53</v>
      </c>
      <c r="J62" s="418">
        <f t="shared" si="8"/>
        <v>63</v>
      </c>
      <c r="K62" s="418">
        <f t="shared" si="8"/>
        <v>75</v>
      </c>
      <c r="L62" s="419">
        <f t="shared" si="8"/>
        <v>80</v>
      </c>
      <c r="M62" s="418">
        <f t="shared" si="8"/>
        <v>81</v>
      </c>
    </row>
    <row r="63" spans="3:13" x14ac:dyDescent="0.2">
      <c r="C63" s="411" t="s">
        <v>183</v>
      </c>
      <c r="D63" s="414">
        <v>43</v>
      </c>
      <c r="E63" s="414">
        <v>48</v>
      </c>
      <c r="F63" s="414">
        <v>45</v>
      </c>
      <c r="G63" s="414">
        <v>52</v>
      </c>
      <c r="H63" s="414">
        <v>37</v>
      </c>
      <c r="I63" s="414">
        <v>38</v>
      </c>
      <c r="J63" s="414">
        <v>35</v>
      </c>
      <c r="K63" s="414">
        <v>34</v>
      </c>
      <c r="L63" s="417">
        <v>33</v>
      </c>
      <c r="M63" s="399">
        <v>35</v>
      </c>
    </row>
    <row r="64" spans="3:13" x14ac:dyDescent="0.2">
      <c r="C64" s="411" t="s">
        <v>184</v>
      </c>
      <c r="D64" s="425">
        <v>0</v>
      </c>
      <c r="E64" s="414"/>
      <c r="F64" s="414"/>
      <c r="G64" s="414"/>
      <c r="H64" s="414"/>
      <c r="I64" s="414"/>
      <c r="J64" s="414"/>
      <c r="K64" s="414"/>
      <c r="L64" s="417"/>
    </row>
    <row r="65" spans="2:13" x14ac:dyDescent="0.2">
      <c r="C65" s="411" t="s">
        <v>185</v>
      </c>
      <c r="D65" s="414">
        <v>26</v>
      </c>
      <c r="E65" s="414">
        <v>21</v>
      </c>
      <c r="F65" s="414">
        <v>18</v>
      </c>
      <c r="G65" s="414">
        <v>12</v>
      </c>
      <c r="H65" s="414">
        <v>22</v>
      </c>
      <c r="I65" s="414">
        <v>15</v>
      </c>
      <c r="J65" s="414">
        <v>28</v>
      </c>
      <c r="K65" s="414">
        <v>41</v>
      </c>
      <c r="L65" s="417">
        <v>47</v>
      </c>
      <c r="M65" s="399">
        <v>46</v>
      </c>
    </row>
    <row r="66" spans="2:13" x14ac:dyDescent="0.2">
      <c r="C66" s="415" t="s">
        <v>26</v>
      </c>
      <c r="D66" s="414">
        <v>23</v>
      </c>
      <c r="E66" s="414">
        <v>25</v>
      </c>
      <c r="F66" s="414">
        <v>30</v>
      </c>
      <c r="G66" s="414">
        <v>29</v>
      </c>
      <c r="H66" s="414">
        <v>24</v>
      </c>
      <c r="I66" s="423">
        <v>24</v>
      </c>
      <c r="J66" s="414">
        <v>34</v>
      </c>
      <c r="K66" s="414">
        <v>37</v>
      </c>
      <c r="L66" s="417">
        <v>36</v>
      </c>
      <c r="M66" s="399">
        <v>39</v>
      </c>
    </row>
    <row r="67" spans="2:13" x14ac:dyDescent="0.2">
      <c r="C67" s="415" t="s">
        <v>25</v>
      </c>
      <c r="D67" s="414">
        <v>46</v>
      </c>
      <c r="E67" s="414">
        <v>44</v>
      </c>
      <c r="F67" s="414">
        <v>33</v>
      </c>
      <c r="G67" s="414">
        <v>35</v>
      </c>
      <c r="H67" s="414">
        <v>35</v>
      </c>
      <c r="I67" s="424">
        <v>29</v>
      </c>
      <c r="J67" s="414">
        <v>29</v>
      </c>
      <c r="K67" s="414">
        <v>38</v>
      </c>
      <c r="L67" s="417">
        <v>44</v>
      </c>
      <c r="M67" s="399">
        <v>42</v>
      </c>
    </row>
    <row r="68" spans="2:13" x14ac:dyDescent="0.2">
      <c r="C68" s="427" t="s">
        <v>225</v>
      </c>
      <c r="D68" s="428">
        <v>4</v>
      </c>
      <c r="E68" s="428">
        <v>4</v>
      </c>
      <c r="F68" s="428"/>
      <c r="G68" s="428"/>
      <c r="H68" s="428">
        <v>4</v>
      </c>
      <c r="I68" s="428">
        <v>4</v>
      </c>
      <c r="J68" s="428">
        <v>4</v>
      </c>
      <c r="K68" s="428">
        <v>4</v>
      </c>
      <c r="L68" s="429">
        <v>3</v>
      </c>
      <c r="M68" s="429">
        <v>3</v>
      </c>
    </row>
    <row r="69" spans="2:13" x14ac:dyDescent="0.2">
      <c r="C69" s="396"/>
    </row>
    <row r="70" spans="2:13" x14ac:dyDescent="0.2">
      <c r="B70" s="369" t="s">
        <v>279</v>
      </c>
      <c r="C70" s="430"/>
    </row>
    <row r="71" spans="2:13" ht="17.25" customHeight="1" x14ac:dyDescent="0.2">
      <c r="B71" s="430"/>
      <c r="C71" s="431"/>
    </row>
    <row r="72" spans="2:13" ht="10.5" customHeight="1" x14ac:dyDescent="0.2">
      <c r="B72" s="590"/>
      <c r="C72" s="590"/>
    </row>
    <row r="73" spans="2:13" s="351" customFormat="1" ht="9" customHeight="1" x14ac:dyDescent="0.2"/>
    <row r="74" spans="2:13" x14ac:dyDescent="0.2">
      <c r="B74" s="591"/>
      <c r="C74" s="591"/>
    </row>
  </sheetData>
  <mergeCells count="4">
    <mergeCell ref="B72:C72"/>
    <mergeCell ref="B74:C74"/>
    <mergeCell ref="H2:K2"/>
    <mergeCell ref="C7:L7"/>
  </mergeCells>
  <pageMargins left="0.7" right="0.7" top="0.75" bottom="0.75" header="0.3" footer="0.3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9700" r:id="rId4">
          <objectPr defaultSize="0" autoPict="0" r:id="rId5">
            <anchor moveWithCells="1" sizeWithCells="1">
              <from>
                <xdr:col>1</xdr:col>
                <xdr:colOff>295275</xdr:colOff>
                <xdr:row>0</xdr:row>
                <xdr:rowOff>133350</xdr:rowOff>
              </from>
              <to>
                <xdr:col>2</xdr:col>
                <xdr:colOff>819150</xdr:colOff>
                <xdr:row>3</xdr:row>
                <xdr:rowOff>57150</xdr:rowOff>
              </to>
            </anchor>
          </objectPr>
        </oleObject>
      </mc:Choice>
      <mc:Fallback>
        <oleObject progId="MSPhotoEd.3" shapeId="2970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B1:Q45"/>
  <sheetViews>
    <sheetView zoomScaleNormal="100" zoomScaleSheetLayoutView="100" workbookViewId="0">
      <selection activeCell="N6" sqref="N6"/>
    </sheetView>
  </sheetViews>
  <sheetFormatPr defaultColWidth="9.140625" defaultRowHeight="14.25" x14ac:dyDescent="0.2"/>
  <cols>
    <col min="1" max="1" width="9.140625" style="399"/>
    <col min="2" max="2" width="6.85546875" style="399" customWidth="1"/>
    <col min="3" max="3" width="13.140625" style="399" customWidth="1"/>
    <col min="4" max="7" width="11.42578125" style="399" customWidth="1"/>
    <col min="8" max="16384" width="9.140625" style="399"/>
  </cols>
  <sheetData>
    <row r="1" spans="2:17" s="363" customFormat="1" ht="12.75" x14ac:dyDescent="0.2"/>
    <row r="2" spans="2:17" s="363" customFormat="1" ht="12.75" x14ac:dyDescent="0.2">
      <c r="I2" s="586" t="s">
        <v>349</v>
      </c>
      <c r="J2" s="586"/>
      <c r="K2" s="586"/>
      <c r="L2" s="586"/>
    </row>
    <row r="3" spans="2:17" s="363" customFormat="1" ht="15" x14ac:dyDescent="0.25">
      <c r="D3" s="432"/>
      <c r="E3" s="432"/>
      <c r="F3" s="432"/>
      <c r="G3" s="432"/>
      <c r="H3" s="432"/>
      <c r="I3" s="432"/>
      <c r="J3" s="432"/>
      <c r="K3" s="432"/>
    </row>
    <row r="4" spans="2:17" s="363" customFormat="1" ht="9" customHeight="1" x14ac:dyDescent="0.2"/>
    <row r="5" spans="2:17" s="351" customFormat="1" ht="12.75" x14ac:dyDescent="0.2">
      <c r="Q5" s="400"/>
    </row>
    <row r="6" spans="2:17" s="351" customFormat="1" ht="15.75" x14ac:dyDescent="0.25">
      <c r="B6" s="589" t="s">
        <v>359</v>
      </c>
      <c r="C6" s="589"/>
      <c r="D6" s="589"/>
      <c r="E6" s="589"/>
      <c r="F6" s="589"/>
      <c r="G6" s="589"/>
      <c r="H6" s="589"/>
      <c r="I6" s="589"/>
      <c r="J6" s="589"/>
      <c r="K6" s="589"/>
      <c r="L6" s="433"/>
      <c r="M6" s="433"/>
      <c r="N6" s="433"/>
      <c r="Q6" s="400"/>
    </row>
    <row r="7" spans="2:17" s="351" customFormat="1" ht="15.75" x14ac:dyDescent="0.25"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Q7" s="400"/>
    </row>
    <row r="8" spans="2:17" s="363" customFormat="1" ht="12.75" customHeight="1" x14ac:dyDescent="0.2"/>
    <row r="9" spans="2:17" ht="24.75" customHeight="1" x14ac:dyDescent="0.2">
      <c r="B9" s="434" t="s">
        <v>237</v>
      </c>
      <c r="C9" s="434" t="s">
        <v>360</v>
      </c>
    </row>
    <row r="10" spans="2:17" x14ac:dyDescent="0.2">
      <c r="C10" s="592" t="s">
        <v>226</v>
      </c>
      <c r="D10" s="594" t="s">
        <v>91</v>
      </c>
      <c r="E10" s="594"/>
      <c r="F10" s="594"/>
      <c r="G10" s="594"/>
    </row>
    <row r="11" spans="2:17" ht="38.25" x14ac:dyDescent="0.2">
      <c r="C11" s="593"/>
      <c r="D11" s="435" t="s">
        <v>235</v>
      </c>
      <c r="E11" s="435" t="s">
        <v>234</v>
      </c>
      <c r="F11" s="435" t="s">
        <v>346</v>
      </c>
      <c r="G11" s="436" t="s">
        <v>236</v>
      </c>
    </row>
    <row r="12" spans="2:17" x14ac:dyDescent="0.2">
      <c r="C12" s="437" t="s">
        <v>233</v>
      </c>
      <c r="D12" s="438">
        <f>SUM(D22,D32)</f>
        <v>42</v>
      </c>
      <c r="E12" s="438">
        <f>SUM(E22,E32)</f>
        <v>0</v>
      </c>
      <c r="F12" s="438">
        <f>SUM(F22,F32)</f>
        <v>0</v>
      </c>
      <c r="G12" s="439">
        <f t="shared" ref="G12:G18" si="0">SUM(D12:F12)</f>
        <v>42</v>
      </c>
    </row>
    <row r="13" spans="2:17" x14ac:dyDescent="0.2">
      <c r="C13" s="437" t="s">
        <v>232</v>
      </c>
      <c r="D13" s="438">
        <f t="shared" ref="D13:F17" si="1">SUM(D23,D33)</f>
        <v>177</v>
      </c>
      <c r="E13" s="438">
        <f t="shared" si="1"/>
        <v>22</v>
      </c>
      <c r="F13" s="438">
        <f t="shared" si="1"/>
        <v>0</v>
      </c>
      <c r="G13" s="439">
        <f t="shared" si="0"/>
        <v>199</v>
      </c>
    </row>
    <row r="14" spans="2:17" x14ac:dyDescent="0.2">
      <c r="C14" s="437" t="s">
        <v>231</v>
      </c>
      <c r="D14" s="438">
        <f t="shared" si="1"/>
        <v>319</v>
      </c>
      <c r="E14" s="438">
        <f t="shared" si="1"/>
        <v>125</v>
      </c>
      <c r="F14" s="438">
        <f t="shared" si="1"/>
        <v>0</v>
      </c>
      <c r="G14" s="439">
        <f t="shared" si="0"/>
        <v>444</v>
      </c>
    </row>
    <row r="15" spans="2:17" x14ac:dyDescent="0.2">
      <c r="C15" s="437" t="s">
        <v>227</v>
      </c>
      <c r="D15" s="438">
        <f t="shared" si="1"/>
        <v>422</v>
      </c>
      <c r="E15" s="438">
        <f t="shared" si="1"/>
        <v>167</v>
      </c>
      <c r="F15" s="438">
        <f t="shared" si="1"/>
        <v>36</v>
      </c>
      <c r="G15" s="439">
        <f t="shared" si="0"/>
        <v>625</v>
      </c>
    </row>
    <row r="16" spans="2:17" x14ac:dyDescent="0.2">
      <c r="C16" s="437" t="s">
        <v>228</v>
      </c>
      <c r="D16" s="438">
        <f t="shared" si="1"/>
        <v>170</v>
      </c>
      <c r="E16" s="438">
        <f t="shared" si="1"/>
        <v>309</v>
      </c>
      <c r="F16" s="438">
        <f t="shared" si="1"/>
        <v>269</v>
      </c>
      <c r="G16" s="439">
        <f t="shared" si="0"/>
        <v>748</v>
      </c>
    </row>
    <row r="17" spans="3:7" x14ac:dyDescent="0.2">
      <c r="C17" s="437" t="s">
        <v>230</v>
      </c>
      <c r="D17" s="438">
        <f t="shared" si="1"/>
        <v>0</v>
      </c>
      <c r="E17" s="438">
        <f t="shared" si="1"/>
        <v>14</v>
      </c>
      <c r="F17" s="438">
        <f t="shared" si="1"/>
        <v>10</v>
      </c>
      <c r="G17" s="439">
        <f t="shared" si="0"/>
        <v>24</v>
      </c>
    </row>
    <row r="18" spans="3:7" x14ac:dyDescent="0.2">
      <c r="C18" s="440" t="s">
        <v>24</v>
      </c>
      <c r="D18" s="439">
        <f>SUM(D12:D17)</f>
        <v>1130</v>
      </c>
      <c r="E18" s="439">
        <f>SUM(E12:E17)</f>
        <v>637</v>
      </c>
      <c r="F18" s="439">
        <f>SUM(F12:F17)</f>
        <v>315</v>
      </c>
      <c r="G18" s="439">
        <f t="shared" si="0"/>
        <v>2082</v>
      </c>
    </row>
    <row r="19" spans="3:7" x14ac:dyDescent="0.2">
      <c r="C19" s="416"/>
      <c r="D19" s="416"/>
      <c r="E19" s="416"/>
      <c r="F19" s="416"/>
      <c r="G19" s="416"/>
    </row>
    <row r="20" spans="3:7" x14ac:dyDescent="0.2">
      <c r="C20" s="592" t="s">
        <v>226</v>
      </c>
      <c r="D20" s="594" t="s">
        <v>26</v>
      </c>
      <c r="E20" s="594"/>
      <c r="F20" s="594"/>
      <c r="G20" s="594"/>
    </row>
    <row r="21" spans="3:7" ht="38.25" x14ac:dyDescent="0.2">
      <c r="C21" s="593"/>
      <c r="D21" s="435" t="s">
        <v>235</v>
      </c>
      <c r="E21" s="435" t="s">
        <v>234</v>
      </c>
      <c r="F21" s="435" t="s">
        <v>346</v>
      </c>
      <c r="G21" s="436" t="s">
        <v>236</v>
      </c>
    </row>
    <row r="22" spans="3:7" x14ac:dyDescent="0.2">
      <c r="C22" s="437" t="s">
        <v>233</v>
      </c>
      <c r="D22" s="438">
        <v>26</v>
      </c>
      <c r="E22" s="438"/>
      <c r="F22" s="441"/>
      <c r="G22" s="439">
        <f t="shared" ref="G22:G28" si="2">SUM(D22:F22)</f>
        <v>26</v>
      </c>
    </row>
    <row r="23" spans="3:7" x14ac:dyDescent="0.2">
      <c r="C23" s="437" t="s">
        <v>232</v>
      </c>
      <c r="D23" s="438">
        <v>83</v>
      </c>
      <c r="E23" s="438">
        <v>6</v>
      </c>
      <c r="F23" s="441"/>
      <c r="G23" s="439">
        <f t="shared" si="2"/>
        <v>89</v>
      </c>
    </row>
    <row r="24" spans="3:7" x14ac:dyDescent="0.2">
      <c r="C24" s="437" t="s">
        <v>231</v>
      </c>
      <c r="D24" s="438">
        <v>149</v>
      </c>
      <c r="E24" s="438">
        <v>69</v>
      </c>
      <c r="F24" s="441"/>
      <c r="G24" s="439">
        <f t="shared" si="2"/>
        <v>218</v>
      </c>
    </row>
    <row r="25" spans="3:7" x14ac:dyDescent="0.2">
      <c r="C25" s="437" t="s">
        <v>227</v>
      </c>
      <c r="D25" s="438">
        <v>201</v>
      </c>
      <c r="E25" s="438">
        <v>84</v>
      </c>
      <c r="F25" s="438">
        <v>10</v>
      </c>
      <c r="G25" s="439">
        <f t="shared" si="2"/>
        <v>295</v>
      </c>
    </row>
    <row r="26" spans="3:7" x14ac:dyDescent="0.2">
      <c r="C26" s="437" t="s">
        <v>228</v>
      </c>
      <c r="D26" s="438">
        <v>81</v>
      </c>
      <c r="E26" s="438">
        <v>157</v>
      </c>
      <c r="F26" s="438">
        <v>120</v>
      </c>
      <c r="G26" s="439">
        <f t="shared" si="2"/>
        <v>358</v>
      </c>
    </row>
    <row r="27" spans="3:7" x14ac:dyDescent="0.2">
      <c r="C27" s="437" t="s">
        <v>230</v>
      </c>
      <c r="D27" s="438"/>
      <c r="E27" s="438">
        <v>10</v>
      </c>
      <c r="F27" s="438"/>
      <c r="G27" s="439">
        <f t="shared" si="2"/>
        <v>10</v>
      </c>
    </row>
    <row r="28" spans="3:7" x14ac:dyDescent="0.2">
      <c r="C28" s="440" t="s">
        <v>24</v>
      </c>
      <c r="D28" s="439">
        <f>SUM(D22:D27)</f>
        <v>540</v>
      </c>
      <c r="E28" s="439">
        <f>SUM(E22:E27)</f>
        <v>326</v>
      </c>
      <c r="F28" s="439">
        <f>SUM(F22:F27)</f>
        <v>130</v>
      </c>
      <c r="G28" s="439">
        <f t="shared" si="2"/>
        <v>996</v>
      </c>
    </row>
    <row r="29" spans="3:7" x14ac:dyDescent="0.2">
      <c r="C29" s="442"/>
      <c r="D29" s="442"/>
      <c r="E29" s="442"/>
      <c r="F29" s="442"/>
      <c r="G29" s="442"/>
    </row>
    <row r="30" spans="3:7" x14ac:dyDescent="0.2">
      <c r="C30" s="592" t="s">
        <v>226</v>
      </c>
      <c r="D30" s="594" t="s">
        <v>25</v>
      </c>
      <c r="E30" s="594"/>
      <c r="F30" s="594"/>
      <c r="G30" s="594"/>
    </row>
    <row r="31" spans="3:7" ht="38.25" x14ac:dyDescent="0.2">
      <c r="C31" s="593"/>
      <c r="D31" s="435" t="s">
        <v>235</v>
      </c>
      <c r="E31" s="435" t="s">
        <v>234</v>
      </c>
      <c r="F31" s="435" t="s">
        <v>346</v>
      </c>
      <c r="G31" s="436" t="s">
        <v>236</v>
      </c>
    </row>
    <row r="32" spans="3:7" x14ac:dyDescent="0.2">
      <c r="C32" s="437" t="s">
        <v>233</v>
      </c>
      <c r="D32" s="438">
        <v>16</v>
      </c>
      <c r="E32" s="438"/>
      <c r="F32" s="441"/>
      <c r="G32" s="439">
        <f t="shared" ref="G32:G38" si="3">SUM(D32:F32)</f>
        <v>16</v>
      </c>
    </row>
    <row r="33" spans="2:7" x14ac:dyDescent="0.2">
      <c r="C33" s="437" t="s">
        <v>232</v>
      </c>
      <c r="D33" s="438">
        <v>94</v>
      </c>
      <c r="E33" s="438">
        <v>16</v>
      </c>
      <c r="F33" s="441"/>
      <c r="G33" s="439">
        <f t="shared" si="3"/>
        <v>110</v>
      </c>
    </row>
    <row r="34" spans="2:7" x14ac:dyDescent="0.2">
      <c r="C34" s="437" t="s">
        <v>231</v>
      </c>
      <c r="D34" s="438">
        <v>170</v>
      </c>
      <c r="E34" s="438">
        <v>56</v>
      </c>
      <c r="F34" s="441"/>
      <c r="G34" s="439">
        <f t="shared" si="3"/>
        <v>226</v>
      </c>
    </row>
    <row r="35" spans="2:7" x14ac:dyDescent="0.2">
      <c r="C35" s="437" t="s">
        <v>227</v>
      </c>
      <c r="D35" s="438">
        <v>221</v>
      </c>
      <c r="E35" s="438">
        <v>83</v>
      </c>
      <c r="F35" s="438">
        <v>26</v>
      </c>
      <c r="G35" s="439">
        <f t="shared" si="3"/>
        <v>330</v>
      </c>
    </row>
    <row r="36" spans="2:7" x14ac:dyDescent="0.2">
      <c r="C36" s="437" t="s">
        <v>228</v>
      </c>
      <c r="D36" s="438">
        <v>89</v>
      </c>
      <c r="E36" s="438">
        <v>152</v>
      </c>
      <c r="F36" s="438">
        <v>149</v>
      </c>
      <c r="G36" s="439">
        <f t="shared" si="3"/>
        <v>390</v>
      </c>
    </row>
    <row r="37" spans="2:7" x14ac:dyDescent="0.2">
      <c r="C37" s="437" t="s">
        <v>230</v>
      </c>
      <c r="D37" s="438"/>
      <c r="E37" s="438">
        <v>4</v>
      </c>
      <c r="F37" s="438">
        <v>10</v>
      </c>
      <c r="G37" s="439">
        <f t="shared" si="3"/>
        <v>14</v>
      </c>
    </row>
    <row r="38" spans="2:7" x14ac:dyDescent="0.2">
      <c r="C38" s="440" t="s">
        <v>24</v>
      </c>
      <c r="D38" s="439">
        <f>SUM(D32:D37)</f>
        <v>590</v>
      </c>
      <c r="E38" s="439">
        <f>SUM(E32:E37)</f>
        <v>311</v>
      </c>
      <c r="F38" s="439">
        <f>SUM(F32:F37)</f>
        <v>185</v>
      </c>
      <c r="G38" s="439">
        <f t="shared" si="3"/>
        <v>1086</v>
      </c>
    </row>
    <row r="39" spans="2:7" x14ac:dyDescent="0.2">
      <c r="C39" s="442"/>
      <c r="D39" s="442"/>
      <c r="E39" s="442"/>
      <c r="F39" s="442"/>
      <c r="G39" s="442"/>
    </row>
    <row r="40" spans="2:7" ht="15" x14ac:dyDescent="0.25">
      <c r="B40" s="399" t="s">
        <v>310</v>
      </c>
    </row>
    <row r="41" spans="2:7" x14ac:dyDescent="0.2">
      <c r="B41" s="369"/>
      <c r="C41" s="443"/>
    </row>
    <row r="42" spans="2:7" ht="12.75" customHeight="1" x14ac:dyDescent="0.2">
      <c r="B42" s="431"/>
      <c r="C42" s="431"/>
    </row>
    <row r="43" spans="2:7" ht="12.75" customHeight="1" x14ac:dyDescent="0.2">
      <c r="B43" s="431"/>
      <c r="C43" s="431"/>
    </row>
    <row r="44" spans="2:7" s="351" customFormat="1" ht="9" customHeight="1" x14ac:dyDescent="0.2"/>
    <row r="45" spans="2:7" x14ac:dyDescent="0.2">
      <c r="B45" s="444"/>
      <c r="C45" s="444"/>
    </row>
  </sheetData>
  <mergeCells count="8">
    <mergeCell ref="C30:C31"/>
    <mergeCell ref="D30:G30"/>
    <mergeCell ref="I2:L2"/>
    <mergeCell ref="D10:G10"/>
    <mergeCell ref="C10:C11"/>
    <mergeCell ref="B6:K6"/>
    <mergeCell ref="C20:C21"/>
    <mergeCell ref="D20:G20"/>
  </mergeCells>
  <pageMargins left="0.7" right="0.7" top="0.75" bottom="0.75" header="0.3" footer="0.3"/>
  <pageSetup scale="70" orientation="portrait" r:id="rId1"/>
  <colBreaks count="1" manualBreakCount="1">
    <brk id="13" max="44" man="1"/>
  </colBreaks>
  <drawing r:id="rId2"/>
  <legacyDrawing r:id="rId3"/>
  <oleObjects>
    <mc:AlternateContent xmlns:mc="http://schemas.openxmlformats.org/markup-compatibility/2006">
      <mc:Choice Requires="x14">
        <oleObject progId="MSPhotoEd.3" shapeId="34817" r:id="rId4">
          <objectPr defaultSize="0" autoPict="0" r:id="rId5">
            <anchor moveWithCells="1" sizeWithCells="1">
              <from>
                <xdr:col>2</xdr:col>
                <xdr:colOff>762000</xdr:colOff>
                <xdr:row>1</xdr:row>
                <xdr:rowOff>57150</xdr:rowOff>
              </from>
              <to>
                <xdr:col>3</xdr:col>
                <xdr:colOff>714375</xdr:colOff>
                <xdr:row>3</xdr:row>
                <xdr:rowOff>95250</xdr:rowOff>
              </to>
            </anchor>
          </objectPr>
        </oleObject>
      </mc:Choice>
      <mc:Fallback>
        <oleObject progId="MSPhotoEd.3" shapeId="348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5" tint="0.59999389629810485"/>
    <pageSetUpPr fitToPage="1"/>
  </sheetPr>
  <dimension ref="B2:BH107"/>
  <sheetViews>
    <sheetView zoomScaleNormal="100" zoomScaleSheetLayoutView="100" workbookViewId="0">
      <selection activeCell="N3" sqref="N3"/>
    </sheetView>
  </sheetViews>
  <sheetFormatPr defaultRowHeight="12.75" x14ac:dyDescent="0.2"/>
  <cols>
    <col min="1" max="1" width="9.140625" style="29"/>
    <col min="2" max="2" width="8.140625" style="29" customWidth="1"/>
    <col min="3" max="3" width="9.42578125" style="29" customWidth="1"/>
    <col min="4" max="4" width="1.7109375" style="29" customWidth="1"/>
    <col min="5" max="5" width="15.28515625" style="29" customWidth="1"/>
    <col min="6" max="7" width="9.28515625" style="29" bestFit="1" customWidth="1"/>
    <col min="8" max="8" width="10.5703125" style="29" customWidth="1"/>
    <col min="9" max="9" width="9.28515625" style="445" bestFit="1" customWidth="1"/>
    <col min="10" max="10" width="11.7109375" style="29" customWidth="1"/>
    <col min="11" max="11" width="15.7109375" style="29" customWidth="1"/>
    <col min="12" max="12" width="9.140625" style="29"/>
    <col min="13" max="13" width="10.140625" style="29" customWidth="1"/>
    <col min="14" max="14" width="9.28515625" style="29" bestFit="1" customWidth="1"/>
    <col min="15" max="16384" width="9.140625" style="29"/>
  </cols>
  <sheetData>
    <row r="2" spans="2:16" x14ac:dyDescent="0.2">
      <c r="J2" s="586" t="s">
        <v>349</v>
      </c>
      <c r="K2" s="586"/>
      <c r="L2" s="586"/>
      <c r="M2" s="586"/>
    </row>
    <row r="4" spans="2:16" ht="15" x14ac:dyDescent="0.25">
      <c r="J4" s="446"/>
      <c r="K4" s="351"/>
    </row>
    <row r="5" spans="2:16" ht="9" customHeight="1" x14ac:dyDescent="0.2"/>
    <row r="6" spans="2:16" x14ac:dyDescent="0.2">
      <c r="I6" s="29"/>
      <c r="P6" s="400"/>
    </row>
    <row r="7" spans="2:16" ht="15.75" x14ac:dyDescent="0.25"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P7" s="400"/>
    </row>
    <row r="8" spans="2:16" ht="15.75" x14ac:dyDescent="0.25">
      <c r="D8" s="354"/>
      <c r="E8" s="354"/>
      <c r="F8" s="354"/>
      <c r="G8" s="354"/>
      <c r="H8" s="354"/>
      <c r="I8" s="354"/>
      <c r="J8" s="354"/>
      <c r="K8" s="354"/>
      <c r="L8" s="354"/>
      <c r="M8" s="354"/>
      <c r="P8" s="400"/>
    </row>
    <row r="9" spans="2:16" ht="12.75" customHeight="1" x14ac:dyDescent="0.2"/>
    <row r="10" spans="2:16" s="351" customFormat="1" ht="15" x14ac:dyDescent="0.25">
      <c r="B10" s="328" t="s">
        <v>206</v>
      </c>
      <c r="C10" s="595" t="s">
        <v>361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</row>
    <row r="11" spans="2:16" ht="11.25" customHeight="1" x14ac:dyDescent="0.2"/>
    <row r="12" spans="2:16" ht="13.5" customHeight="1" x14ac:dyDescent="0.2">
      <c r="J12" s="423" t="s">
        <v>247</v>
      </c>
    </row>
    <row r="13" spans="2:16" ht="14.25" x14ac:dyDescent="0.2">
      <c r="E13" s="447"/>
      <c r="F13" s="448" t="s">
        <v>201</v>
      </c>
      <c r="G13" s="449" t="s">
        <v>1</v>
      </c>
      <c r="H13" s="448" t="s">
        <v>220</v>
      </c>
      <c r="I13" s="448" t="s">
        <v>3</v>
      </c>
      <c r="J13" s="448" t="s">
        <v>202</v>
      </c>
      <c r="K13" s="49"/>
    </row>
    <row r="14" spans="2:16" x14ac:dyDescent="0.2">
      <c r="C14" s="445">
        <v>2017</v>
      </c>
      <c r="E14" s="454" t="s">
        <v>4</v>
      </c>
      <c r="F14" s="376">
        <v>0</v>
      </c>
      <c r="G14" s="451">
        <v>2425</v>
      </c>
      <c r="H14" s="451">
        <v>2231</v>
      </c>
      <c r="I14" s="452">
        <f>SUM(G14:H14)</f>
        <v>4656</v>
      </c>
      <c r="J14" s="450">
        <v>17</v>
      </c>
      <c r="K14" s="49"/>
    </row>
    <row r="15" spans="2:16" x14ac:dyDescent="0.2">
      <c r="E15" s="400" t="s">
        <v>5</v>
      </c>
      <c r="F15" s="460">
        <v>0</v>
      </c>
      <c r="G15" s="451">
        <v>1786</v>
      </c>
      <c r="H15" s="451">
        <v>1535</v>
      </c>
      <c r="I15" s="452">
        <f>SUM(G15:H15)</f>
        <v>3321</v>
      </c>
      <c r="J15" s="450">
        <v>11</v>
      </c>
      <c r="K15" s="49"/>
    </row>
    <row r="16" spans="2:16" x14ac:dyDescent="0.2">
      <c r="E16" s="445" t="s">
        <v>6</v>
      </c>
      <c r="F16" s="461">
        <v>0</v>
      </c>
      <c r="G16" s="452">
        <f>IF(SUM(G14:G15)&lt;&gt;SUM(G17:G18),"ERROR",SUM(G14:G15))</f>
        <v>4211</v>
      </c>
      <c r="H16" s="452">
        <f>IF(SUM(H14:H15)&lt;&gt;SUM(H17:H18),"ERROR",SUM(H14:H15))</f>
        <v>3766</v>
      </c>
      <c r="I16" s="452">
        <f>IF(SUM(I14:I15)&lt;&gt;SUM(I17:I18),"ERROR",SUM(I14:I15))</f>
        <v>7977</v>
      </c>
      <c r="J16" s="453">
        <v>28</v>
      </c>
      <c r="K16" s="49"/>
    </row>
    <row r="17" spans="3:11" x14ac:dyDescent="0.2">
      <c r="E17" s="400" t="s">
        <v>26</v>
      </c>
      <c r="F17" s="460">
        <v>0</v>
      </c>
      <c r="G17" s="463">
        <v>2015</v>
      </c>
      <c r="H17" s="451">
        <v>1884</v>
      </c>
      <c r="I17" s="452">
        <f>SUM(G17:H17)</f>
        <v>3899</v>
      </c>
      <c r="J17" s="450"/>
      <c r="K17" s="49"/>
    </row>
    <row r="18" spans="3:11" x14ac:dyDescent="0.2">
      <c r="E18" s="454" t="s">
        <v>25</v>
      </c>
      <c r="F18" s="376">
        <v>0</v>
      </c>
      <c r="G18" s="450">
        <v>2196</v>
      </c>
      <c r="H18" s="451">
        <v>1882</v>
      </c>
      <c r="I18" s="452">
        <f>SUM(G18:H18)</f>
        <v>4078</v>
      </c>
      <c r="J18" s="450"/>
      <c r="K18" s="49"/>
    </row>
    <row r="19" spans="3:11" x14ac:dyDescent="0.2">
      <c r="E19" s="457" t="s">
        <v>223</v>
      </c>
      <c r="F19" s="459"/>
      <c r="G19" s="458">
        <f>G17/G18</f>
        <v>0.91757741347905286</v>
      </c>
      <c r="H19" s="458">
        <f>H17/H18</f>
        <v>1.0010626992561105</v>
      </c>
      <c r="I19" s="458">
        <f>I17/I18</f>
        <v>0.95610593428151058</v>
      </c>
      <c r="J19" s="459"/>
      <c r="K19" s="49"/>
    </row>
    <row r="20" spans="3:11" x14ac:dyDescent="0.2">
      <c r="C20" s="445">
        <v>2018</v>
      </c>
      <c r="E20" s="454" t="s">
        <v>4</v>
      </c>
      <c r="F20" s="376">
        <v>0</v>
      </c>
      <c r="G20" s="451">
        <v>2396</v>
      </c>
      <c r="H20" s="451">
        <v>2227</v>
      </c>
      <c r="I20" s="452">
        <f>SUM(G20:H20)</f>
        <v>4623</v>
      </c>
      <c r="J20" s="450">
        <v>17</v>
      </c>
      <c r="K20" s="49"/>
    </row>
    <row r="21" spans="3:11" x14ac:dyDescent="0.2">
      <c r="E21" s="400" t="s">
        <v>5</v>
      </c>
      <c r="F21" s="460">
        <v>0</v>
      </c>
      <c r="G21" s="451">
        <v>2022</v>
      </c>
      <c r="H21" s="451">
        <v>1596</v>
      </c>
      <c r="I21" s="452">
        <f>SUM(G21:H21)</f>
        <v>3618</v>
      </c>
      <c r="J21" s="450">
        <v>12</v>
      </c>
      <c r="K21" s="49"/>
    </row>
    <row r="22" spans="3:11" x14ac:dyDescent="0.2">
      <c r="E22" s="445" t="s">
        <v>6</v>
      </c>
      <c r="F22" s="461">
        <v>0</v>
      </c>
      <c r="G22" s="452">
        <f>IF(SUM(G20:G21)&lt;&gt;SUM(G23:G24),"ERROR",SUM(G20:G21))</f>
        <v>4418</v>
      </c>
      <c r="H22" s="452">
        <f>IF(SUM(H20:H21)&lt;&gt;SUM(H23:H24),"ERROR",SUM(H20:H21))</f>
        <v>3823</v>
      </c>
      <c r="I22" s="452">
        <f>IF(SUM(I20:I21)&lt;&gt;SUM(I23:I24),"ERROR",SUM(I20:I21))</f>
        <v>8241</v>
      </c>
      <c r="J22" s="453">
        <f>SUM(J20:J21)</f>
        <v>29</v>
      </c>
      <c r="K22" s="49"/>
    </row>
    <row r="23" spans="3:11" x14ac:dyDescent="0.2">
      <c r="E23" s="400" t="s">
        <v>26</v>
      </c>
      <c r="F23" s="460">
        <v>0</v>
      </c>
      <c r="G23" s="463">
        <v>2130</v>
      </c>
      <c r="H23" s="451">
        <v>1884</v>
      </c>
      <c r="I23" s="452">
        <f>SUM(G23:H23)</f>
        <v>4014</v>
      </c>
      <c r="J23" s="450"/>
      <c r="K23" s="49"/>
    </row>
    <row r="24" spans="3:11" x14ac:dyDescent="0.2">
      <c r="E24" s="454" t="s">
        <v>25</v>
      </c>
      <c r="F24" s="376">
        <v>0</v>
      </c>
      <c r="G24" s="450">
        <v>2288</v>
      </c>
      <c r="H24" s="451">
        <v>1939</v>
      </c>
      <c r="I24" s="452">
        <f>SUM(G24:H24)</f>
        <v>4227</v>
      </c>
      <c r="J24" s="450"/>
      <c r="K24" s="49"/>
    </row>
    <row r="25" spans="3:11" x14ac:dyDescent="0.2">
      <c r="E25" s="457" t="s">
        <v>223</v>
      </c>
      <c r="F25" s="459"/>
      <c r="G25" s="458">
        <f>G23/G24</f>
        <v>0.93094405594405594</v>
      </c>
      <c r="H25" s="458">
        <f>H23/H24</f>
        <v>0.9716348633316142</v>
      </c>
      <c r="I25" s="458">
        <f>I23/I24</f>
        <v>0.9496096522356281</v>
      </c>
      <c r="J25" s="459"/>
      <c r="K25" s="49"/>
    </row>
    <row r="26" spans="3:11" x14ac:dyDescent="0.2">
      <c r="C26" s="445">
        <v>2019</v>
      </c>
      <c r="E26" s="454" t="s">
        <v>4</v>
      </c>
      <c r="F26" s="376">
        <v>0</v>
      </c>
      <c r="G26" s="451">
        <v>2353</v>
      </c>
      <c r="H26" s="451">
        <v>2284</v>
      </c>
      <c r="I26" s="452">
        <f>SUM(G26:H26)</f>
        <v>4637</v>
      </c>
      <c r="J26" s="450">
        <v>17</v>
      </c>
      <c r="K26" s="49"/>
    </row>
    <row r="27" spans="3:11" x14ac:dyDescent="0.2">
      <c r="E27" s="400" t="s">
        <v>5</v>
      </c>
      <c r="F27" s="460">
        <v>0</v>
      </c>
      <c r="G27" s="451">
        <v>2125</v>
      </c>
      <c r="H27" s="451">
        <v>1284</v>
      </c>
      <c r="I27" s="452">
        <f>SUM(G27:H27)</f>
        <v>3409</v>
      </c>
      <c r="J27" s="450">
        <v>12</v>
      </c>
      <c r="K27" s="49"/>
    </row>
    <row r="28" spans="3:11" x14ac:dyDescent="0.2">
      <c r="E28" s="445" t="s">
        <v>6</v>
      </c>
      <c r="F28" s="461">
        <v>0</v>
      </c>
      <c r="G28" s="452">
        <f>IF(SUM(G26:G27)&lt;&gt;SUM(G29:G30),"ERROR",SUM(G26:G27))</f>
        <v>4478</v>
      </c>
      <c r="H28" s="452">
        <f>IF(SUM(H26:H27)&lt;&gt;SUM(H29:H30),"ERROR",SUM(H26:H27))</f>
        <v>3568</v>
      </c>
      <c r="I28" s="452">
        <f>IF(SUM(I26:I27)&lt;&gt;SUM(I29:I30),"ERROR",SUM(I26:I27))</f>
        <v>8046</v>
      </c>
      <c r="J28" s="453">
        <f>SUM(J26:J27)</f>
        <v>29</v>
      </c>
      <c r="K28" s="49"/>
    </row>
    <row r="29" spans="3:11" x14ac:dyDescent="0.2">
      <c r="E29" s="400" t="s">
        <v>26</v>
      </c>
      <c r="F29" s="460">
        <v>0</v>
      </c>
      <c r="G29" s="463">
        <v>2199</v>
      </c>
      <c r="H29" s="451">
        <v>1789</v>
      </c>
      <c r="I29" s="452">
        <f>SUM(G29:H29)</f>
        <v>3988</v>
      </c>
      <c r="J29" s="450"/>
      <c r="K29" s="49"/>
    </row>
    <row r="30" spans="3:11" x14ac:dyDescent="0.2">
      <c r="E30" s="454" t="s">
        <v>25</v>
      </c>
      <c r="F30" s="376">
        <v>0</v>
      </c>
      <c r="G30" s="450">
        <v>2279</v>
      </c>
      <c r="H30" s="451">
        <v>1779</v>
      </c>
      <c r="I30" s="452">
        <f>SUM(G30:H30)</f>
        <v>4058</v>
      </c>
      <c r="J30" s="450"/>
      <c r="K30" s="49"/>
    </row>
    <row r="31" spans="3:11" x14ac:dyDescent="0.2">
      <c r="E31" s="457" t="s">
        <v>223</v>
      </c>
      <c r="F31" s="459"/>
      <c r="G31" s="458">
        <f>G29/G30</f>
        <v>0.96489688459850809</v>
      </c>
      <c r="H31" s="458">
        <f>H29/H30</f>
        <v>1.0056211354693647</v>
      </c>
      <c r="I31" s="458">
        <f>I29/I30</f>
        <v>0.9827501232134056</v>
      </c>
      <c r="J31" s="459"/>
      <c r="K31" s="49"/>
    </row>
    <row r="32" spans="3:11" x14ac:dyDescent="0.2">
      <c r="C32" s="445">
        <v>2020</v>
      </c>
      <c r="E32" s="454" t="s">
        <v>4</v>
      </c>
      <c r="F32" s="376">
        <v>0</v>
      </c>
      <c r="G32" s="451">
        <v>2306</v>
      </c>
      <c r="H32" s="451">
        <v>2373</v>
      </c>
      <c r="I32" s="452">
        <f>SUM(G32:H32)</f>
        <v>4679</v>
      </c>
      <c r="J32" s="450">
        <v>17</v>
      </c>
      <c r="K32" s="49"/>
    </row>
    <row r="33" spans="3:11" x14ac:dyDescent="0.2">
      <c r="C33" s="445"/>
      <c r="E33" s="400" t="s">
        <v>5</v>
      </c>
      <c r="F33" s="460">
        <v>0</v>
      </c>
      <c r="G33" s="451">
        <v>1991</v>
      </c>
      <c r="H33" s="451">
        <v>1764</v>
      </c>
      <c r="I33" s="452">
        <f>SUM(G33:H33)</f>
        <v>3755</v>
      </c>
      <c r="J33" s="450">
        <v>12</v>
      </c>
      <c r="K33" s="49"/>
    </row>
    <row r="34" spans="3:11" x14ac:dyDescent="0.2">
      <c r="C34" s="445"/>
      <c r="E34" s="445" t="s">
        <v>6</v>
      </c>
      <c r="F34" s="461">
        <v>0</v>
      </c>
      <c r="G34" s="452">
        <f>IF(SUM(G32:G33)&lt;&gt;SUM(G35:G36),"ERROR",SUM(G32:G33))</f>
        <v>4297</v>
      </c>
      <c r="H34" s="452">
        <f>IF(SUM(H32:H33)&lt;&gt;SUM(H35:H36),"ERROR",SUM(H32:H33))</f>
        <v>4137</v>
      </c>
      <c r="I34" s="452">
        <f>IF(SUM(I32:I33)&lt;&gt;SUM(I35:I36),"ERROR",SUM(I32:I33))</f>
        <v>8434</v>
      </c>
      <c r="J34" s="453">
        <f>SUM(J32:J33)</f>
        <v>29</v>
      </c>
      <c r="K34" s="49"/>
    </row>
    <row r="35" spans="3:11" x14ac:dyDescent="0.2">
      <c r="C35" s="445"/>
      <c r="E35" s="400" t="s">
        <v>26</v>
      </c>
      <c r="F35" s="460">
        <v>0</v>
      </c>
      <c r="G35" s="463">
        <v>2117</v>
      </c>
      <c r="H35" s="451">
        <v>2050</v>
      </c>
      <c r="I35" s="452">
        <f>SUM(G35:H35)</f>
        <v>4167</v>
      </c>
      <c r="J35" s="450"/>
      <c r="K35" s="49"/>
    </row>
    <row r="36" spans="3:11" x14ac:dyDescent="0.2">
      <c r="C36" s="445"/>
      <c r="E36" s="454" t="s">
        <v>25</v>
      </c>
      <c r="F36" s="376">
        <v>0</v>
      </c>
      <c r="G36" s="450">
        <v>2180</v>
      </c>
      <c r="H36" s="451">
        <v>2087</v>
      </c>
      <c r="I36" s="452">
        <f>SUM(G36:H36)</f>
        <v>4267</v>
      </c>
      <c r="J36" s="450"/>
      <c r="K36" s="49"/>
    </row>
    <row r="37" spans="3:11" x14ac:dyDescent="0.2">
      <c r="C37" s="445"/>
      <c r="E37" s="457" t="s">
        <v>223</v>
      </c>
      <c r="F37" s="459"/>
      <c r="G37" s="458">
        <v>0.97</v>
      </c>
      <c r="H37" s="458">
        <v>0.98</v>
      </c>
      <c r="I37" s="458">
        <v>0.98</v>
      </c>
      <c r="J37" s="459"/>
      <c r="K37" s="49"/>
    </row>
    <row r="38" spans="3:11" x14ac:dyDescent="0.2">
      <c r="C38" s="445">
        <v>2021</v>
      </c>
      <c r="E38" s="454" t="s">
        <v>4</v>
      </c>
      <c r="F38" s="376">
        <v>0</v>
      </c>
      <c r="G38" s="451">
        <v>2248</v>
      </c>
      <c r="H38" s="451">
        <v>2509</v>
      </c>
      <c r="I38" s="452">
        <f>SUM(G38:H38)</f>
        <v>4757</v>
      </c>
      <c r="J38" s="451">
        <v>17</v>
      </c>
      <c r="K38" s="49"/>
    </row>
    <row r="39" spans="3:11" x14ac:dyDescent="0.2">
      <c r="E39" s="400" t="s">
        <v>5</v>
      </c>
      <c r="F39" s="460">
        <v>0</v>
      </c>
      <c r="G39" s="451">
        <v>2201</v>
      </c>
      <c r="H39" s="451">
        <v>1860</v>
      </c>
      <c r="I39" s="452">
        <f>SUM(G39:H39)</f>
        <v>4061</v>
      </c>
      <c r="J39" s="450">
        <v>19</v>
      </c>
      <c r="K39" s="49"/>
    </row>
    <row r="40" spans="3:11" x14ac:dyDescent="0.2">
      <c r="E40" s="400" t="s">
        <v>314</v>
      </c>
      <c r="F40" s="460"/>
      <c r="G40" s="451">
        <v>65</v>
      </c>
      <c r="H40" s="451">
        <v>53</v>
      </c>
      <c r="I40" s="452">
        <f>SUM(G40:H40)</f>
        <v>118</v>
      </c>
      <c r="J40" s="453">
        <f>SUM(J38:J39)</f>
        <v>36</v>
      </c>
      <c r="K40" s="49"/>
    </row>
    <row r="41" spans="3:11" x14ac:dyDescent="0.2">
      <c r="C41" s="445"/>
      <c r="E41" s="445" t="s">
        <v>6</v>
      </c>
      <c r="F41" s="461">
        <v>0</v>
      </c>
      <c r="G41" s="452">
        <f>IF(SUM(G38:G40)&lt;&gt;SUM(G42:G43),"ERROR",SUM(G38:G40))</f>
        <v>4514</v>
      </c>
      <c r="H41" s="452">
        <f>IF(SUM(H38:H40)&lt;&gt;SUM(H42:H43),"ERROR",SUM(H38:H40))</f>
        <v>4422</v>
      </c>
      <c r="I41" s="452">
        <f>IF(SUM(I38:I40)&lt;&gt;SUM(I42:I43),"ERROR",SUM(I38:I40))</f>
        <v>8936</v>
      </c>
      <c r="J41" s="453"/>
      <c r="K41" s="49"/>
    </row>
    <row r="42" spans="3:11" x14ac:dyDescent="0.2">
      <c r="E42" s="400" t="s">
        <v>26</v>
      </c>
      <c r="F42" s="460">
        <v>0</v>
      </c>
      <c r="G42" s="463">
        <v>2229</v>
      </c>
      <c r="H42" s="451">
        <v>2181</v>
      </c>
      <c r="I42" s="452">
        <f>SUM(G42:H42)</f>
        <v>4410</v>
      </c>
      <c r="J42" s="450"/>
      <c r="K42" s="49"/>
    </row>
    <row r="43" spans="3:11" x14ac:dyDescent="0.2">
      <c r="E43" s="454" t="s">
        <v>25</v>
      </c>
      <c r="F43" s="376">
        <v>0</v>
      </c>
      <c r="G43" s="450">
        <v>2285</v>
      </c>
      <c r="H43" s="451">
        <v>2241</v>
      </c>
      <c r="I43" s="452">
        <f>SUM(G43:H43)</f>
        <v>4526</v>
      </c>
      <c r="J43" s="450"/>
      <c r="K43" s="49"/>
    </row>
    <row r="44" spans="3:11" x14ac:dyDescent="0.2">
      <c r="E44" s="457" t="s">
        <v>223</v>
      </c>
      <c r="F44" s="459"/>
      <c r="G44" s="458">
        <v>0.98</v>
      </c>
      <c r="H44" s="458">
        <v>0.97</v>
      </c>
      <c r="I44" s="458">
        <v>0.97</v>
      </c>
      <c r="J44" s="459"/>
      <c r="K44" s="49"/>
    </row>
    <row r="45" spans="3:11" hidden="1" x14ac:dyDescent="0.2">
      <c r="E45" s="454"/>
      <c r="F45" s="450"/>
      <c r="G45" s="456"/>
      <c r="H45" s="456"/>
      <c r="I45" s="456"/>
      <c r="J45" s="450"/>
      <c r="K45" s="49"/>
    </row>
    <row r="46" spans="3:11" hidden="1" x14ac:dyDescent="0.2">
      <c r="E46" s="454"/>
      <c r="F46" s="450"/>
      <c r="G46" s="456"/>
      <c r="H46" s="456"/>
      <c r="I46" s="456"/>
      <c r="J46" s="450"/>
      <c r="K46" s="49"/>
    </row>
    <row r="47" spans="3:11" x14ac:dyDescent="0.2">
      <c r="C47" s="445">
        <v>2022</v>
      </c>
      <c r="E47" s="454" t="s">
        <v>4</v>
      </c>
      <c r="F47" s="376">
        <v>0</v>
      </c>
      <c r="G47" s="451">
        <v>2291</v>
      </c>
      <c r="H47" s="451">
        <v>2603</v>
      </c>
      <c r="I47" s="452">
        <f>SUM(G47:H47)</f>
        <v>4894</v>
      </c>
      <c r="J47" s="451">
        <v>17</v>
      </c>
      <c r="K47" s="49"/>
    </row>
    <row r="48" spans="3:11" x14ac:dyDescent="0.2">
      <c r="E48" s="400" t="s">
        <v>5</v>
      </c>
      <c r="F48" s="460">
        <v>0</v>
      </c>
      <c r="G48" s="451">
        <v>2170</v>
      </c>
      <c r="H48" s="451">
        <v>1860</v>
      </c>
      <c r="I48" s="452">
        <f>SUM(G48:H48)</f>
        <v>4030</v>
      </c>
      <c r="J48" s="450">
        <v>19</v>
      </c>
      <c r="K48" s="49"/>
    </row>
    <row r="49" spans="2:12" x14ac:dyDescent="0.2">
      <c r="E49" s="400" t="s">
        <v>314</v>
      </c>
      <c r="F49" s="460"/>
      <c r="G49" s="451">
        <v>54</v>
      </c>
      <c r="H49" s="451">
        <v>64</v>
      </c>
      <c r="I49" s="452">
        <f>SUM(G49:H49)</f>
        <v>118</v>
      </c>
      <c r="J49" s="453">
        <f>SUM(J47:J48)</f>
        <v>36</v>
      </c>
      <c r="K49" s="49"/>
    </row>
    <row r="50" spans="2:12" x14ac:dyDescent="0.2">
      <c r="C50" s="445"/>
      <c r="E50" s="445" t="s">
        <v>6</v>
      </c>
      <c r="F50" s="461">
        <v>0</v>
      </c>
      <c r="G50" s="452">
        <f>IF(SUM(G47:G49)&lt;&gt;SUM(G51:G52),"ERROR",SUM(G47:G49))</f>
        <v>4515</v>
      </c>
      <c r="H50" s="452">
        <f>IF(SUM(H47:H49)&lt;&gt;SUM(H51:H52),"ERROR",SUM(H47:H49))</f>
        <v>4527</v>
      </c>
      <c r="I50" s="452">
        <f>IF(SUM(I47:I49)&lt;&gt;SUM(I51:I52),"ERROR",SUM(I47:I49))</f>
        <v>9042</v>
      </c>
      <c r="J50" s="453"/>
      <c r="K50" s="49"/>
    </row>
    <row r="51" spans="2:12" x14ac:dyDescent="0.2">
      <c r="E51" s="400" t="s">
        <v>26</v>
      </c>
      <c r="F51" s="460">
        <v>0</v>
      </c>
      <c r="G51" s="463">
        <v>2267</v>
      </c>
      <c r="H51" s="451">
        <v>2255</v>
      </c>
      <c r="I51" s="452">
        <f>SUM(G51:H51)</f>
        <v>4522</v>
      </c>
      <c r="J51" s="450"/>
      <c r="K51" s="49"/>
    </row>
    <row r="52" spans="2:12" x14ac:dyDescent="0.2">
      <c r="E52" s="454" t="s">
        <v>25</v>
      </c>
      <c r="F52" s="376">
        <v>0</v>
      </c>
      <c r="G52" s="450">
        <v>2248</v>
      </c>
      <c r="H52" s="451">
        <v>2272</v>
      </c>
      <c r="I52" s="452">
        <f>SUM(G52:H52)</f>
        <v>4520</v>
      </c>
      <c r="J52" s="450"/>
      <c r="K52" s="49"/>
    </row>
    <row r="53" spans="2:12" x14ac:dyDescent="0.2">
      <c r="E53" s="457" t="s">
        <v>223</v>
      </c>
      <c r="F53" s="459"/>
      <c r="G53" s="458">
        <v>0.98</v>
      </c>
      <c r="H53" s="458">
        <v>0.97</v>
      </c>
      <c r="I53" s="458">
        <v>0.97</v>
      </c>
      <c r="J53" s="459"/>
      <c r="K53" s="49"/>
    </row>
    <row r="54" spans="2:12" x14ac:dyDescent="0.2">
      <c r="C54" s="445">
        <v>2023</v>
      </c>
      <c r="D54" s="464"/>
      <c r="E54" s="454" t="s">
        <v>4</v>
      </c>
      <c r="F54" s="376">
        <v>0</v>
      </c>
      <c r="G54" s="451">
        <v>2289</v>
      </c>
      <c r="H54" s="451">
        <v>2693</v>
      </c>
      <c r="I54" s="452">
        <f>SUM(G54:H54)</f>
        <v>4982</v>
      </c>
      <c r="J54" s="451">
        <v>17</v>
      </c>
    </row>
    <row r="55" spans="2:12" x14ac:dyDescent="0.2">
      <c r="B55" s="455"/>
      <c r="C55" s="455"/>
      <c r="D55" s="455"/>
      <c r="E55" s="400" t="s">
        <v>5</v>
      </c>
      <c r="F55" s="460">
        <v>0</v>
      </c>
      <c r="G55" s="451">
        <v>2045</v>
      </c>
      <c r="H55" s="451">
        <v>1913</v>
      </c>
      <c r="I55" s="452">
        <f>SUM(G55:H55)</f>
        <v>3958</v>
      </c>
      <c r="J55" s="450">
        <v>19</v>
      </c>
      <c r="K55" s="455"/>
    </row>
    <row r="56" spans="2:12" x14ac:dyDescent="0.2">
      <c r="B56" s="324"/>
      <c r="C56" s="324"/>
      <c r="D56" s="324"/>
      <c r="E56" s="400" t="s">
        <v>314</v>
      </c>
      <c r="F56" s="460"/>
      <c r="G56" s="451">
        <v>43</v>
      </c>
      <c r="H56" s="451">
        <v>71</v>
      </c>
      <c r="I56" s="452">
        <f>SUM(G56:H56)</f>
        <v>114</v>
      </c>
      <c r="J56" s="453">
        <f>SUM(J54:J55)</f>
        <v>36</v>
      </c>
      <c r="K56" s="324"/>
      <c r="L56" s="324"/>
    </row>
    <row r="57" spans="2:12" x14ac:dyDescent="0.2">
      <c r="E57" s="445" t="s">
        <v>6</v>
      </c>
      <c r="F57" s="461">
        <v>0</v>
      </c>
      <c r="G57" s="452">
        <f>IF(SUM(G54:G56)&lt;&gt;SUM(G58:G59),"ERROR",SUM(G54:G56))</f>
        <v>4377</v>
      </c>
      <c r="H57" s="452">
        <f>IF(SUM(H54:H56)&lt;&gt;SUM(H58:H59),"ERROR",SUM(H54:H56))</f>
        <v>4677</v>
      </c>
      <c r="I57" s="452">
        <f>IF(SUM(I54:I56)&lt;&gt;SUM(I58:I59),"ERROR",SUM(I54:I56))</f>
        <v>9054</v>
      </c>
      <c r="J57" s="453"/>
    </row>
    <row r="58" spans="2:12" x14ac:dyDescent="0.2">
      <c r="E58" s="400" t="s">
        <v>26</v>
      </c>
      <c r="F58" s="460">
        <v>0</v>
      </c>
      <c r="G58" s="463">
        <v>2214</v>
      </c>
      <c r="H58" s="451">
        <v>2291</v>
      </c>
      <c r="I58" s="452">
        <f>SUM(G58:H58)</f>
        <v>4505</v>
      </c>
      <c r="J58" s="450"/>
    </row>
    <row r="59" spans="2:12" x14ac:dyDescent="0.2">
      <c r="E59" s="454" t="s">
        <v>25</v>
      </c>
      <c r="F59" s="376">
        <v>0</v>
      </c>
      <c r="G59" s="450">
        <v>2163</v>
      </c>
      <c r="H59" s="451">
        <v>2386</v>
      </c>
      <c r="I59" s="452">
        <f>SUM(G59:H59)</f>
        <v>4549</v>
      </c>
      <c r="J59" s="450"/>
    </row>
    <row r="60" spans="2:12" x14ac:dyDescent="0.2">
      <c r="E60" s="457" t="s">
        <v>223</v>
      </c>
      <c r="F60" s="459"/>
      <c r="G60" s="458">
        <v>0.98</v>
      </c>
      <c r="H60" s="458">
        <v>0.97</v>
      </c>
      <c r="I60" s="458">
        <v>0.97</v>
      </c>
      <c r="J60" s="459"/>
    </row>
    <row r="97" spans="6:60" x14ac:dyDescent="0.2"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</row>
    <row r="98" spans="6:60" x14ac:dyDescent="0.2"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</row>
    <row r="99" spans="6:60" x14ac:dyDescent="0.2"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</row>
    <row r="105" spans="6:60" x14ac:dyDescent="0.2">
      <c r="F105" s="49"/>
      <c r="G105" s="49"/>
      <c r="H105" s="49"/>
      <c r="I105" s="394"/>
      <c r="J105" s="49"/>
      <c r="K105" s="49"/>
      <c r="L105" s="49"/>
      <c r="M105" s="49"/>
    </row>
    <row r="106" spans="6:60" x14ac:dyDescent="0.2">
      <c r="F106" s="49"/>
      <c r="G106" s="49"/>
      <c r="H106" s="49"/>
      <c r="I106" s="394"/>
      <c r="J106" s="49"/>
      <c r="K106" s="49"/>
      <c r="L106" s="49"/>
      <c r="M106" s="49"/>
    </row>
    <row r="107" spans="6:60" x14ac:dyDescent="0.2">
      <c r="F107" s="49"/>
      <c r="G107" s="49"/>
      <c r="H107" s="49"/>
      <c r="I107" s="394"/>
      <c r="J107" s="49"/>
      <c r="K107" s="49"/>
      <c r="L107" s="49"/>
      <c r="M107" s="49"/>
    </row>
  </sheetData>
  <mergeCells count="2">
    <mergeCell ref="C10:M10"/>
    <mergeCell ref="J2:M2"/>
  </mergeCells>
  <phoneticPr fontId="0" type="noConversion"/>
  <pageMargins left="0.7" right="0.7" top="0.75" bottom="0.75" header="0.3" footer="0.3"/>
  <pageSetup scale="79" orientation="portrait" r:id="rId1"/>
  <colBreaks count="1" manualBreakCount="1">
    <brk id="15" max="1048575" man="1"/>
  </colBreaks>
  <ignoredErrors>
    <ignoredError sqref="I14:I15 I58:I59 H34:H57 G34:G57" formulaRange="1"/>
    <ignoredError sqref="I16:I57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81" r:id="rId4">
          <objectPr defaultSize="0" autoPict="0" r:id="rId5">
            <anchor moveWithCells="1" sizeWithCells="1">
              <from>
                <xdr:col>1</xdr:col>
                <xdr:colOff>152400</xdr:colOff>
                <xdr:row>0</xdr:row>
                <xdr:rowOff>85725</xdr:rowOff>
              </from>
              <to>
                <xdr:col>2</xdr:col>
                <xdr:colOff>571500</xdr:colOff>
                <xdr:row>3</xdr:row>
                <xdr:rowOff>47625</xdr:rowOff>
              </to>
            </anchor>
          </objectPr>
        </oleObject>
      </mc:Choice>
      <mc:Fallback>
        <oleObject progId="MSPhotoEd.3" shapeId="2458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5" tint="0.59999389629810485"/>
    <pageSetUpPr fitToPage="1"/>
  </sheetPr>
  <dimension ref="B2:P77"/>
  <sheetViews>
    <sheetView zoomScaleNormal="100" workbookViewId="0">
      <selection activeCell="I2" sqref="I2"/>
    </sheetView>
  </sheetViews>
  <sheetFormatPr defaultColWidth="9.140625" defaultRowHeight="14.25" x14ac:dyDescent="0.2"/>
  <cols>
    <col min="1" max="1" width="9.140625" style="399"/>
    <col min="2" max="2" width="8.140625" style="399" customWidth="1"/>
    <col min="3" max="3" width="17.7109375" style="399" customWidth="1"/>
    <col min="4" max="5" width="15.140625" style="399" customWidth="1"/>
    <col min="6" max="6" width="13.140625" style="399" customWidth="1"/>
    <col min="7" max="10" width="9.140625" style="399"/>
    <col min="11" max="11" width="2.42578125" style="399" customWidth="1"/>
    <col min="12" max="16384" width="9.140625" style="399"/>
  </cols>
  <sheetData>
    <row r="2" spans="2:16" x14ac:dyDescent="0.2">
      <c r="E2" s="465" t="s">
        <v>349</v>
      </c>
      <c r="F2" s="465"/>
      <c r="G2" s="465"/>
      <c r="H2" s="465"/>
      <c r="I2" s="465"/>
      <c r="J2" s="465"/>
    </row>
    <row r="4" spans="2:16" ht="15" x14ac:dyDescent="0.25">
      <c r="F4" s="29"/>
      <c r="G4" s="29"/>
      <c r="H4" s="445"/>
      <c r="I4" s="446"/>
    </row>
    <row r="5" spans="2:16" s="351" customFormat="1" ht="9" customHeight="1" x14ac:dyDescent="0.2">
      <c r="L5" s="400"/>
    </row>
    <row r="6" spans="2:16" s="351" customFormat="1" ht="12.75" x14ac:dyDescent="0.2">
      <c r="P6" s="400"/>
    </row>
    <row r="7" spans="2:16" s="351" customFormat="1" ht="15.75" x14ac:dyDescent="0.25">
      <c r="B7" s="354"/>
      <c r="C7" s="354"/>
      <c r="D7" s="354"/>
      <c r="E7" s="354"/>
      <c r="F7" s="354"/>
      <c r="G7" s="354"/>
      <c r="H7" s="433"/>
      <c r="I7" s="433"/>
      <c r="J7" s="433"/>
      <c r="K7" s="433"/>
      <c r="L7" s="433"/>
      <c r="M7" s="433"/>
      <c r="P7" s="400"/>
    </row>
    <row r="8" spans="2:16" s="351" customFormat="1" ht="15.75" x14ac:dyDescent="0.25">
      <c r="B8" s="354"/>
      <c r="C8" s="354"/>
      <c r="D8" s="354"/>
      <c r="E8" s="354"/>
      <c r="F8" s="354"/>
      <c r="G8" s="354"/>
      <c r="H8" s="354"/>
      <c r="I8" s="354"/>
      <c r="J8" s="354"/>
      <c r="K8" s="433"/>
      <c r="L8" s="433"/>
      <c r="M8" s="433"/>
      <c r="P8" s="400"/>
    </row>
    <row r="9" spans="2:16" s="351" customFormat="1" ht="15.75" x14ac:dyDescent="0.25">
      <c r="D9" s="354"/>
      <c r="E9" s="354"/>
      <c r="F9" s="354"/>
      <c r="G9" s="354"/>
      <c r="H9" s="354"/>
      <c r="I9" s="354"/>
      <c r="J9" s="354"/>
      <c r="K9" s="354"/>
      <c r="L9" s="354"/>
      <c r="M9" s="354"/>
      <c r="P9" s="400"/>
    </row>
    <row r="10" spans="2:16" s="404" customFormat="1" ht="15" customHeight="1" x14ac:dyDescent="0.25">
      <c r="B10" s="404" t="s">
        <v>208</v>
      </c>
      <c r="C10" s="597" t="s">
        <v>362</v>
      </c>
      <c r="D10" s="597"/>
      <c r="E10" s="597"/>
      <c r="F10" s="597"/>
      <c r="G10" s="597"/>
      <c r="H10" s="466"/>
      <c r="I10" s="466"/>
      <c r="J10" s="466"/>
    </row>
    <row r="11" spans="2:16" s="404" customFormat="1" ht="15" x14ac:dyDescent="0.25">
      <c r="C11" s="597"/>
      <c r="D11" s="597"/>
      <c r="E11" s="597"/>
      <c r="F11" s="597"/>
      <c r="G11" s="597"/>
    </row>
    <row r="12" spans="2:16" s="404" customFormat="1" ht="15" x14ac:dyDescent="0.25">
      <c r="B12" s="351"/>
      <c r="C12" s="351"/>
      <c r="D12" s="351"/>
      <c r="E12" s="351"/>
    </row>
    <row r="13" spans="2:16" x14ac:dyDescent="0.2">
      <c r="C13" s="440" t="s">
        <v>198</v>
      </c>
      <c r="D13" s="467" t="s">
        <v>1</v>
      </c>
      <c r="E13" s="467" t="s">
        <v>317</v>
      </c>
      <c r="F13" s="467" t="s">
        <v>24</v>
      </c>
    </row>
    <row r="14" spans="2:16" x14ac:dyDescent="0.2">
      <c r="C14" s="440" t="s">
        <v>199</v>
      </c>
      <c r="D14" s="439">
        <f>SUM(D18,D19)</f>
        <v>4377</v>
      </c>
      <c r="E14" s="439">
        <f>SUM(E18,E19)</f>
        <v>4677</v>
      </c>
      <c r="F14" s="439">
        <f>SUM(F18,F19)</f>
        <v>9054</v>
      </c>
    </row>
    <row r="15" spans="2:16" x14ac:dyDescent="0.2">
      <c r="C15" s="468" t="s">
        <v>4</v>
      </c>
      <c r="D15" s="439">
        <f t="shared" ref="D15:F19" si="0">SUM(D23,D31,D39,D47,D55,D63)</f>
        <v>2289</v>
      </c>
      <c r="E15" s="439">
        <f>SUM(E23,E31,E39,E47,E55,E63)</f>
        <v>2693</v>
      </c>
      <c r="F15" s="439">
        <f t="shared" si="0"/>
        <v>4982</v>
      </c>
    </row>
    <row r="16" spans="2:16" x14ac:dyDescent="0.2">
      <c r="C16" s="468" t="s">
        <v>5</v>
      </c>
      <c r="D16" s="439">
        <f t="shared" si="0"/>
        <v>2045</v>
      </c>
      <c r="E16" s="439">
        <f t="shared" si="0"/>
        <v>1913</v>
      </c>
      <c r="F16" s="439">
        <f t="shared" si="0"/>
        <v>3958</v>
      </c>
    </row>
    <row r="17" spans="3:10" x14ac:dyDescent="0.2">
      <c r="C17" s="468" t="s">
        <v>314</v>
      </c>
      <c r="D17" s="439">
        <f>SUM(D25,D33,D41,D49,D57)</f>
        <v>43</v>
      </c>
      <c r="E17" s="439">
        <f t="shared" si="0"/>
        <v>71</v>
      </c>
      <c r="F17" s="439">
        <f t="shared" si="0"/>
        <v>114</v>
      </c>
    </row>
    <row r="18" spans="3:10" x14ac:dyDescent="0.2">
      <c r="C18" s="468" t="s">
        <v>26</v>
      </c>
      <c r="D18" s="439">
        <f>SUM(D26,D34,D42,D50,D58,D66)</f>
        <v>2214</v>
      </c>
      <c r="E18" s="439">
        <f t="shared" si="0"/>
        <v>2291</v>
      </c>
      <c r="F18" s="439">
        <f t="shared" si="0"/>
        <v>4505</v>
      </c>
      <c r="I18" s="469"/>
    </row>
    <row r="19" spans="3:10" ht="15" x14ac:dyDescent="0.25">
      <c r="C19" s="468" t="s">
        <v>25</v>
      </c>
      <c r="D19" s="439">
        <f>SUM(D27,D35,D43,D51,D59,D67)</f>
        <v>2163</v>
      </c>
      <c r="E19" s="439">
        <f t="shared" si="0"/>
        <v>2386</v>
      </c>
      <c r="F19" s="439">
        <f t="shared" si="0"/>
        <v>4549</v>
      </c>
      <c r="J19" s="470"/>
    </row>
    <row r="20" spans="3:10" x14ac:dyDescent="0.2">
      <c r="C20" s="437" t="s">
        <v>318</v>
      </c>
      <c r="D20" s="439"/>
      <c r="E20" s="439"/>
      <c r="F20" s="439"/>
    </row>
    <row r="21" spans="3:10" x14ac:dyDescent="0.2">
      <c r="C21" s="440"/>
      <c r="D21" s="438"/>
      <c r="E21" s="438"/>
      <c r="F21" s="438"/>
    </row>
    <row r="22" spans="3:10" x14ac:dyDescent="0.2">
      <c r="C22" s="440" t="s">
        <v>154</v>
      </c>
      <c r="D22" s="471">
        <f>SUM(D26,D27)</f>
        <v>2939</v>
      </c>
      <c r="E22" s="471">
        <f>SUM(E26,E27)</f>
        <v>3471</v>
      </c>
      <c r="F22" s="471">
        <f>SUM(F26,F27)</f>
        <v>6410</v>
      </c>
    </row>
    <row r="23" spans="3:10" x14ac:dyDescent="0.2">
      <c r="C23" s="468" t="s">
        <v>4</v>
      </c>
      <c r="D23" s="438">
        <v>943</v>
      </c>
      <c r="E23" s="438">
        <v>1665</v>
      </c>
      <c r="F23" s="438">
        <f>SUM(D23:E23)</f>
        <v>2608</v>
      </c>
    </row>
    <row r="24" spans="3:10" x14ac:dyDescent="0.2">
      <c r="C24" s="468" t="s">
        <v>5</v>
      </c>
      <c r="D24" s="438">
        <v>1974</v>
      </c>
      <c r="E24" s="438">
        <v>1778</v>
      </c>
      <c r="F24" s="438">
        <f>SUM(D24:E24)</f>
        <v>3752</v>
      </c>
    </row>
    <row r="25" spans="3:10" x14ac:dyDescent="0.2">
      <c r="C25" s="468" t="s">
        <v>314</v>
      </c>
      <c r="D25" s="438">
        <v>22</v>
      </c>
      <c r="E25" s="438">
        <v>28</v>
      </c>
      <c r="F25" s="438">
        <f>SUM(D25:E25)</f>
        <v>50</v>
      </c>
    </row>
    <row r="26" spans="3:10" x14ac:dyDescent="0.2">
      <c r="C26" s="468" t="s">
        <v>26</v>
      </c>
      <c r="D26" s="438">
        <v>1491</v>
      </c>
      <c r="E26" s="438">
        <v>1705</v>
      </c>
      <c r="F26" s="438">
        <f>SUM(D26:E26)</f>
        <v>3196</v>
      </c>
    </row>
    <row r="27" spans="3:10" x14ac:dyDescent="0.2">
      <c r="C27" s="468" t="s">
        <v>25</v>
      </c>
      <c r="D27" s="438">
        <v>1448</v>
      </c>
      <c r="E27" s="438">
        <v>1766</v>
      </c>
      <c r="F27" s="438">
        <f>SUM(D27:E27)</f>
        <v>3214</v>
      </c>
    </row>
    <row r="28" spans="3:10" x14ac:dyDescent="0.2">
      <c r="C28" s="437" t="s">
        <v>318</v>
      </c>
      <c r="D28" s="438"/>
      <c r="E28" s="438"/>
      <c r="F28" s="438"/>
    </row>
    <row r="29" spans="3:10" x14ac:dyDescent="0.2">
      <c r="C29" s="437"/>
      <c r="D29" s="438"/>
      <c r="E29" s="438"/>
      <c r="F29" s="438"/>
    </row>
    <row r="30" spans="3:10" x14ac:dyDescent="0.2">
      <c r="C30" s="440" t="s">
        <v>155</v>
      </c>
      <c r="D30" s="471">
        <f>SUM(D34,D35)</f>
        <v>529</v>
      </c>
      <c r="E30" s="471">
        <f>SUM(E34,E35)</f>
        <v>156</v>
      </c>
      <c r="F30" s="471">
        <f>SUM(F34,F35)</f>
        <v>685</v>
      </c>
    </row>
    <row r="31" spans="3:10" x14ac:dyDescent="0.2">
      <c r="C31" s="468" t="s">
        <v>4</v>
      </c>
      <c r="D31" s="438">
        <v>444</v>
      </c>
      <c r="E31" s="472"/>
      <c r="F31" s="471">
        <f t="shared" ref="F31:F36" si="1">SUM(D31:E31)</f>
        <v>444</v>
      </c>
    </row>
    <row r="32" spans="3:10" x14ac:dyDescent="0.2">
      <c r="C32" s="468" t="s">
        <v>5</v>
      </c>
      <c r="D32" s="438">
        <v>71</v>
      </c>
      <c r="E32" s="438">
        <v>135</v>
      </c>
      <c r="F32" s="471">
        <f t="shared" si="1"/>
        <v>206</v>
      </c>
    </row>
    <row r="33" spans="3:6" x14ac:dyDescent="0.2">
      <c r="C33" s="468" t="s">
        <v>314</v>
      </c>
      <c r="D33" s="438">
        <v>14</v>
      </c>
      <c r="E33" s="438">
        <v>21</v>
      </c>
      <c r="F33" s="471">
        <f t="shared" si="1"/>
        <v>35</v>
      </c>
    </row>
    <row r="34" spans="3:6" x14ac:dyDescent="0.2">
      <c r="C34" s="468" t="s">
        <v>26</v>
      </c>
      <c r="D34" s="438">
        <v>271</v>
      </c>
      <c r="E34" s="438">
        <v>71</v>
      </c>
      <c r="F34" s="471">
        <f t="shared" si="1"/>
        <v>342</v>
      </c>
    </row>
    <row r="35" spans="3:6" x14ac:dyDescent="0.2">
      <c r="C35" s="468" t="s">
        <v>25</v>
      </c>
      <c r="D35" s="438">
        <v>258</v>
      </c>
      <c r="E35" s="438">
        <v>85</v>
      </c>
      <c r="F35" s="471">
        <f t="shared" si="1"/>
        <v>343</v>
      </c>
    </row>
    <row r="36" spans="3:6" x14ac:dyDescent="0.2">
      <c r="C36" s="437" t="s">
        <v>318</v>
      </c>
      <c r="D36" s="438">
        <v>3</v>
      </c>
      <c r="E36" s="438"/>
      <c r="F36" s="438">
        <f t="shared" si="1"/>
        <v>3</v>
      </c>
    </row>
    <row r="37" spans="3:6" x14ac:dyDescent="0.2">
      <c r="C37" s="437"/>
      <c r="D37" s="438"/>
      <c r="E37" s="438"/>
      <c r="F37" s="438"/>
    </row>
    <row r="38" spans="3:6" x14ac:dyDescent="0.2">
      <c r="C38" s="440" t="s">
        <v>156</v>
      </c>
      <c r="D38" s="471">
        <f>SUM(D42,D43)</f>
        <v>645</v>
      </c>
      <c r="E38" s="471">
        <f>SUM(E42,E43)</f>
        <v>16</v>
      </c>
      <c r="F38" s="471">
        <f>SUM(F42,F43)</f>
        <v>661</v>
      </c>
    </row>
    <row r="39" spans="3:6" x14ac:dyDescent="0.2">
      <c r="C39" s="468" t="s">
        <v>4</v>
      </c>
      <c r="D39" s="438">
        <v>642</v>
      </c>
      <c r="E39" s="472"/>
      <c r="F39" s="438">
        <f>SUM(D39:E39)</f>
        <v>642</v>
      </c>
    </row>
    <row r="40" spans="3:6" x14ac:dyDescent="0.2">
      <c r="C40" s="468" t="s">
        <v>5</v>
      </c>
      <c r="D40" s="472"/>
      <c r="E40" s="472"/>
      <c r="F40" s="472"/>
    </row>
    <row r="41" spans="3:6" x14ac:dyDescent="0.2">
      <c r="C41" s="468" t="s">
        <v>314</v>
      </c>
      <c r="D41" s="472">
        <v>3</v>
      </c>
      <c r="E41" s="472">
        <v>16</v>
      </c>
      <c r="F41" s="472">
        <f>SUM(D41:E41)</f>
        <v>19</v>
      </c>
    </row>
    <row r="42" spans="3:6" x14ac:dyDescent="0.2">
      <c r="C42" s="468" t="s">
        <v>26</v>
      </c>
      <c r="D42" s="438">
        <v>325</v>
      </c>
      <c r="E42" s="472">
        <v>8</v>
      </c>
      <c r="F42" s="438">
        <f>SUM(D42:E42)</f>
        <v>333</v>
      </c>
    </row>
    <row r="43" spans="3:6" x14ac:dyDescent="0.2">
      <c r="C43" s="468" t="s">
        <v>25</v>
      </c>
      <c r="D43" s="438">
        <v>320</v>
      </c>
      <c r="E43" s="472">
        <v>8</v>
      </c>
      <c r="F43" s="438">
        <f>SUM(D43:E43)</f>
        <v>328</v>
      </c>
    </row>
    <row r="44" spans="3:6" x14ac:dyDescent="0.2">
      <c r="C44" s="437" t="s">
        <v>318</v>
      </c>
      <c r="D44" s="438">
        <v>2</v>
      </c>
      <c r="E44" s="472"/>
      <c r="F44" s="438">
        <f>SUM(D44:E44)</f>
        <v>2</v>
      </c>
    </row>
    <row r="45" spans="3:6" x14ac:dyDescent="0.2">
      <c r="C45" s="437"/>
      <c r="D45" s="438"/>
      <c r="E45" s="438"/>
      <c r="F45" s="438"/>
    </row>
    <row r="46" spans="3:6" x14ac:dyDescent="0.2">
      <c r="C46" s="440" t="s">
        <v>157</v>
      </c>
      <c r="D46" s="471">
        <f>SUM(D50,D51)</f>
        <v>74</v>
      </c>
      <c r="E46" s="471">
        <f>SUM(E50,E51)</f>
        <v>880</v>
      </c>
      <c r="F46" s="471">
        <f>SUM(F50,F51)</f>
        <v>954</v>
      </c>
    </row>
    <row r="47" spans="3:6" x14ac:dyDescent="0.2">
      <c r="C47" s="468" t="s">
        <v>4</v>
      </c>
      <c r="D47" s="439">
        <v>73</v>
      </c>
      <c r="E47" s="438">
        <v>875</v>
      </c>
      <c r="F47" s="439">
        <f>SUM(D47:E47)</f>
        <v>948</v>
      </c>
    </row>
    <row r="48" spans="3:6" x14ac:dyDescent="0.2">
      <c r="C48" s="468" t="s">
        <v>5</v>
      </c>
      <c r="D48" s="472"/>
      <c r="E48" s="472"/>
      <c r="F48" s="472"/>
    </row>
    <row r="49" spans="3:6" x14ac:dyDescent="0.2">
      <c r="C49" s="468" t="s">
        <v>314</v>
      </c>
      <c r="D49" s="472">
        <v>1</v>
      </c>
      <c r="E49" s="472">
        <v>5</v>
      </c>
      <c r="F49" s="472">
        <f>SUM(D49:E49)</f>
        <v>6</v>
      </c>
    </row>
    <row r="50" spans="3:6" x14ac:dyDescent="0.2">
      <c r="C50" s="468" t="s">
        <v>26</v>
      </c>
      <c r="D50" s="438">
        <v>37</v>
      </c>
      <c r="E50" s="438">
        <v>434</v>
      </c>
      <c r="F50" s="438">
        <f>SUM(D50:E50)</f>
        <v>471</v>
      </c>
    </row>
    <row r="51" spans="3:6" x14ac:dyDescent="0.2">
      <c r="C51" s="468" t="s">
        <v>25</v>
      </c>
      <c r="D51" s="438">
        <v>37</v>
      </c>
      <c r="E51" s="438">
        <v>446</v>
      </c>
      <c r="F51" s="438">
        <f>SUM(D51:E51)</f>
        <v>483</v>
      </c>
    </row>
    <row r="52" spans="3:6" x14ac:dyDescent="0.2">
      <c r="C52" s="437" t="s">
        <v>318</v>
      </c>
      <c r="D52" s="438"/>
      <c r="E52" s="438"/>
      <c r="F52" s="438">
        <f>SUM(D52:E52)</f>
        <v>0</v>
      </c>
    </row>
    <row r="53" spans="3:6" x14ac:dyDescent="0.2">
      <c r="C53" s="437"/>
      <c r="D53" s="438"/>
      <c r="E53" s="438"/>
      <c r="F53" s="438"/>
    </row>
    <row r="54" spans="3:6" x14ac:dyDescent="0.2">
      <c r="C54" s="440" t="s">
        <v>158</v>
      </c>
      <c r="D54" s="471">
        <f>SUM(D58:D59)</f>
        <v>70</v>
      </c>
      <c r="E54" s="471">
        <f>SUM(E58:E59)</f>
        <v>1</v>
      </c>
      <c r="F54" s="471">
        <f>SUM(F58:F59)</f>
        <v>71</v>
      </c>
    </row>
    <row r="55" spans="3:6" x14ac:dyDescent="0.2">
      <c r="C55" s="468" t="s">
        <v>4</v>
      </c>
      <c r="D55" s="438">
        <v>67</v>
      </c>
      <c r="E55" s="472"/>
      <c r="F55" s="438">
        <f>SUM(D55:E55)</f>
        <v>67</v>
      </c>
    </row>
    <row r="56" spans="3:6" x14ac:dyDescent="0.2">
      <c r="C56" s="468" t="s">
        <v>5</v>
      </c>
      <c r="D56" s="438"/>
      <c r="E56" s="472"/>
      <c r="F56" s="472"/>
    </row>
    <row r="57" spans="3:6" x14ac:dyDescent="0.2">
      <c r="C57" s="468" t="s">
        <v>314</v>
      </c>
      <c r="D57" s="438">
        <v>3</v>
      </c>
      <c r="E57" s="472">
        <v>1</v>
      </c>
      <c r="F57" s="472">
        <f>SUM(D57:E57)</f>
        <v>4</v>
      </c>
    </row>
    <row r="58" spans="3:6" x14ac:dyDescent="0.2">
      <c r="C58" s="468" t="s">
        <v>26</v>
      </c>
      <c r="D58" s="438">
        <v>29</v>
      </c>
      <c r="E58" s="472"/>
      <c r="F58" s="438">
        <f>SUM(D58:E58)</f>
        <v>29</v>
      </c>
    </row>
    <row r="59" spans="3:6" x14ac:dyDescent="0.2">
      <c r="C59" s="468" t="s">
        <v>25</v>
      </c>
      <c r="D59" s="438">
        <v>41</v>
      </c>
      <c r="E59" s="472">
        <v>1</v>
      </c>
      <c r="F59" s="438">
        <f>SUM(D59:E59)</f>
        <v>42</v>
      </c>
    </row>
    <row r="60" spans="3:6" x14ac:dyDescent="0.2">
      <c r="C60" s="437" t="s">
        <v>318</v>
      </c>
      <c r="D60" s="438">
        <v>1</v>
      </c>
      <c r="E60" s="472"/>
      <c r="F60" s="438">
        <f>SUM(D60:E60)</f>
        <v>1</v>
      </c>
    </row>
    <row r="61" spans="3:6" x14ac:dyDescent="0.2">
      <c r="C61" s="437"/>
      <c r="D61" s="438"/>
      <c r="E61" s="438"/>
      <c r="F61" s="438"/>
    </row>
    <row r="62" spans="3:6" x14ac:dyDescent="0.2">
      <c r="C62" s="440" t="s">
        <v>200</v>
      </c>
      <c r="D62" s="471">
        <f>SUM(D66:D67)</f>
        <v>120</v>
      </c>
      <c r="E62" s="471">
        <f>SUM(E66:E67)</f>
        <v>153</v>
      </c>
      <c r="F62" s="471">
        <f>SUM(F66:F67)</f>
        <v>273</v>
      </c>
    </row>
    <row r="63" spans="3:6" x14ac:dyDescent="0.2">
      <c r="C63" s="468" t="s">
        <v>4</v>
      </c>
      <c r="D63" s="438">
        <v>120</v>
      </c>
      <c r="E63" s="438">
        <v>153</v>
      </c>
      <c r="F63" s="438">
        <f>SUM(D63:E63)</f>
        <v>273</v>
      </c>
    </row>
    <row r="64" spans="3:6" x14ac:dyDescent="0.2">
      <c r="C64" s="468" t="s">
        <v>5</v>
      </c>
      <c r="D64" s="472"/>
      <c r="E64" s="472"/>
      <c r="F64" s="472"/>
    </row>
    <row r="65" spans="2:12" x14ac:dyDescent="0.2">
      <c r="C65" s="468" t="s">
        <v>314</v>
      </c>
      <c r="D65" s="472"/>
      <c r="E65" s="472"/>
      <c r="F65" s="472">
        <f>SUM(D65:E65)</f>
        <v>0</v>
      </c>
    </row>
    <row r="66" spans="2:12" x14ac:dyDescent="0.2">
      <c r="C66" s="468" t="s">
        <v>26</v>
      </c>
      <c r="D66" s="438">
        <v>61</v>
      </c>
      <c r="E66" s="438">
        <v>73</v>
      </c>
      <c r="F66" s="438">
        <f>SUM(D66:E66)</f>
        <v>134</v>
      </c>
    </row>
    <row r="67" spans="2:12" x14ac:dyDescent="0.2">
      <c r="C67" s="468" t="s">
        <v>25</v>
      </c>
      <c r="D67" s="438">
        <v>59</v>
      </c>
      <c r="E67" s="438">
        <v>80</v>
      </c>
      <c r="F67" s="438">
        <f>SUM(D67:E67)</f>
        <v>139</v>
      </c>
    </row>
    <row r="68" spans="2:12" x14ac:dyDescent="0.2">
      <c r="C68" s="437" t="s">
        <v>318</v>
      </c>
      <c r="D68" s="438"/>
      <c r="E68" s="438"/>
      <c r="F68" s="438">
        <f>SUM(D68:E68)</f>
        <v>0</v>
      </c>
    </row>
    <row r="70" spans="2:12" x14ac:dyDescent="0.2">
      <c r="C70" s="369" t="s">
        <v>118</v>
      </c>
      <c r="D70" s="473"/>
      <c r="E70" s="442"/>
      <c r="F70" s="473"/>
      <c r="G70" s="442"/>
      <c r="H70" s="442"/>
      <c r="I70" s="442"/>
      <c r="J70" s="442"/>
    </row>
    <row r="71" spans="2:12" ht="30" customHeight="1" x14ac:dyDescent="0.2">
      <c r="C71" s="596" t="s">
        <v>203</v>
      </c>
      <c r="D71" s="596"/>
      <c r="E71" s="596"/>
      <c r="F71" s="596"/>
      <c r="G71" s="596"/>
      <c r="H71" s="596"/>
      <c r="I71" s="474"/>
      <c r="J71" s="474"/>
    </row>
    <row r="72" spans="2:12" ht="18" customHeight="1" x14ac:dyDescent="0.2">
      <c r="C72" s="596" t="s">
        <v>221</v>
      </c>
      <c r="D72" s="596"/>
      <c r="E72" s="596"/>
      <c r="F72" s="596"/>
      <c r="G72" s="596"/>
      <c r="H72" s="596"/>
      <c r="I72" s="596"/>
      <c r="J72" s="596"/>
    </row>
    <row r="73" spans="2:12" ht="18" customHeight="1" x14ac:dyDescent="0.2">
      <c r="C73" s="474"/>
      <c r="D73" s="474"/>
      <c r="E73" s="474"/>
      <c r="F73" s="474"/>
      <c r="G73" s="474"/>
      <c r="H73" s="474"/>
      <c r="I73" s="474"/>
      <c r="J73" s="474"/>
    </row>
    <row r="74" spans="2:12" ht="18" customHeight="1" x14ac:dyDescent="0.2">
      <c r="C74" s="475" t="s">
        <v>311</v>
      </c>
      <c r="D74" s="474"/>
      <c r="E74" s="474"/>
      <c r="F74" s="474"/>
      <c r="G74" s="474"/>
      <c r="H74" s="474"/>
      <c r="I74" s="474"/>
      <c r="J74" s="474"/>
    </row>
    <row r="76" spans="2:12" s="351" customFormat="1" ht="9" customHeight="1" x14ac:dyDescent="0.2">
      <c r="L76" s="400"/>
    </row>
    <row r="77" spans="2:12" x14ac:dyDescent="0.2">
      <c r="B77" s="444"/>
      <c r="C77" s="444"/>
      <c r="D77" s="444"/>
      <c r="E77" s="444"/>
    </row>
  </sheetData>
  <mergeCells count="3">
    <mergeCell ref="C72:J72"/>
    <mergeCell ref="C10:G11"/>
    <mergeCell ref="C71:H71"/>
  </mergeCells>
  <phoneticPr fontId="0" type="noConversion"/>
  <pageMargins left="0.7" right="0.7" top="0.75" bottom="0.75" header="0.3" footer="0.3"/>
  <pageSetup scale="64" orientation="portrait" r:id="rId1"/>
  <colBreaks count="2" manualBreakCount="2">
    <brk id="13" max="69" man="1"/>
    <brk id="14" max="69" man="1"/>
  </colBreaks>
  <ignoredErrors>
    <ignoredError sqref="D54:E54" formulaRange="1"/>
    <ignoredError sqref="D17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3559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114300</xdr:rowOff>
              </from>
              <to>
                <xdr:col>1</xdr:col>
                <xdr:colOff>419100</xdr:colOff>
                <xdr:row>2</xdr:row>
                <xdr:rowOff>123825</xdr:rowOff>
              </to>
            </anchor>
          </objectPr>
        </oleObject>
      </mc:Choice>
      <mc:Fallback>
        <oleObject progId="MSPhotoEd.3" shapeId="2355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B2:Q61"/>
  <sheetViews>
    <sheetView zoomScaleNormal="100" zoomScaleSheetLayoutView="62" workbookViewId="0">
      <selection activeCell="M5" sqref="M5"/>
    </sheetView>
  </sheetViews>
  <sheetFormatPr defaultColWidth="9.140625" defaultRowHeight="14.25" x14ac:dyDescent="0.2"/>
  <cols>
    <col min="1" max="1" width="9.140625" style="399"/>
    <col min="2" max="3" width="10.7109375" style="399" customWidth="1"/>
    <col min="4" max="10" width="9.140625" style="399"/>
    <col min="11" max="11" width="9.5703125" style="399" bestFit="1" customWidth="1"/>
    <col min="12" max="12" width="9.140625" style="399" customWidth="1"/>
    <col min="13" max="16384" width="9.140625" style="399"/>
  </cols>
  <sheetData>
    <row r="2" spans="2:17" x14ac:dyDescent="0.2">
      <c r="H2" s="586" t="s">
        <v>349</v>
      </c>
      <c r="I2" s="586"/>
      <c r="J2" s="586"/>
      <c r="K2" s="586"/>
    </row>
    <row r="4" spans="2:17" ht="15" x14ac:dyDescent="0.25">
      <c r="H4" s="29"/>
      <c r="I4" s="29"/>
      <c r="J4" s="29"/>
      <c r="K4" s="445"/>
      <c r="L4" s="446"/>
    </row>
    <row r="5" spans="2:17" s="351" customFormat="1" ht="9" customHeight="1" x14ac:dyDescent="0.2"/>
    <row r="6" spans="2:17" s="351" customFormat="1" ht="12.75" x14ac:dyDescent="0.2">
      <c r="Q6" s="400"/>
    </row>
    <row r="7" spans="2:17" s="351" customFormat="1" ht="15.75" x14ac:dyDescent="0.25"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433"/>
      <c r="N7" s="433"/>
      <c r="Q7" s="400"/>
    </row>
    <row r="8" spans="2:17" s="351" customFormat="1" ht="15.75" x14ac:dyDescent="0.25"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433"/>
      <c r="M8" s="433"/>
      <c r="N8" s="433"/>
      <c r="Q8" s="400"/>
    </row>
    <row r="9" spans="2:17" s="404" customFormat="1" ht="15" customHeight="1" x14ac:dyDescent="0.25">
      <c r="B9" s="476" t="s">
        <v>363</v>
      </c>
      <c r="C9" s="476"/>
      <c r="D9" s="399"/>
      <c r="E9" s="399"/>
      <c r="F9" s="399"/>
      <c r="G9" s="399"/>
      <c r="H9" s="399"/>
      <c r="I9" s="399"/>
      <c r="J9" s="399"/>
      <c r="K9" s="399"/>
      <c r="L9" s="399"/>
    </row>
    <row r="10" spans="2:17" s="404" customFormat="1" ht="15" customHeight="1" x14ac:dyDescent="0.25">
      <c r="B10" s="476"/>
      <c r="C10" s="476"/>
      <c r="D10" s="399"/>
      <c r="E10" s="399"/>
      <c r="F10" s="399"/>
      <c r="G10" s="399"/>
      <c r="H10" s="399"/>
      <c r="I10" s="399"/>
      <c r="J10" s="399"/>
      <c r="K10" s="399"/>
      <c r="L10" s="399"/>
    </row>
    <row r="11" spans="2:17" s="404" customFormat="1" ht="15" x14ac:dyDescent="0.25">
      <c r="B11" s="477"/>
      <c r="C11" s="478" t="s">
        <v>24</v>
      </c>
      <c r="D11" s="479"/>
      <c r="E11" s="479"/>
      <c r="F11" s="479"/>
      <c r="G11" s="479"/>
      <c r="H11" s="479"/>
      <c r="I11" s="479"/>
      <c r="J11" s="479"/>
      <c r="K11" s="479"/>
      <c r="L11" s="480"/>
    </row>
    <row r="12" spans="2:17" ht="30" x14ac:dyDescent="0.25">
      <c r="B12" s="481"/>
      <c r="C12" s="482" t="s">
        <v>226</v>
      </c>
      <c r="D12" s="483" t="s">
        <v>305</v>
      </c>
      <c r="E12" s="483" t="s">
        <v>300</v>
      </c>
      <c r="F12" s="483" t="s">
        <v>301</v>
      </c>
      <c r="G12" s="483" t="s">
        <v>302</v>
      </c>
      <c r="H12" s="483" t="s">
        <v>303</v>
      </c>
      <c r="I12" s="483" t="s">
        <v>304</v>
      </c>
      <c r="J12" s="483" t="s">
        <v>291</v>
      </c>
      <c r="K12" s="484" t="s">
        <v>24</v>
      </c>
      <c r="L12" s="416"/>
    </row>
    <row r="13" spans="2:17" ht="15" x14ac:dyDescent="0.25">
      <c r="B13" s="481"/>
      <c r="C13" s="485">
        <v>4</v>
      </c>
      <c r="D13" s="485">
        <f>SUM(D28,D43)</f>
        <v>4</v>
      </c>
      <c r="E13" s="485"/>
      <c r="F13" s="485"/>
      <c r="G13" s="485"/>
      <c r="H13" s="485"/>
      <c r="I13" s="485"/>
      <c r="J13" s="485"/>
      <c r="K13" s="486">
        <f t="shared" ref="K13:K21" si="0">SUM(K28,K43)</f>
        <v>4</v>
      </c>
      <c r="L13" s="416"/>
    </row>
    <row r="14" spans="2:17" ht="15" x14ac:dyDescent="0.25">
      <c r="B14" s="481"/>
      <c r="C14" s="485">
        <v>5</v>
      </c>
      <c r="D14" s="485">
        <f>SUM(D29,D44)</f>
        <v>671</v>
      </c>
      <c r="E14" s="485">
        <f>SUM(E29,E44)</f>
        <v>4</v>
      </c>
      <c r="F14" s="485"/>
      <c r="G14" s="485"/>
      <c r="H14" s="485"/>
      <c r="I14" s="485"/>
      <c r="J14" s="485"/>
      <c r="K14" s="486">
        <f t="shared" si="0"/>
        <v>675</v>
      </c>
      <c r="L14" s="416"/>
    </row>
    <row r="15" spans="2:17" ht="15" x14ac:dyDescent="0.25">
      <c r="B15" s="481"/>
      <c r="C15" s="485">
        <v>6</v>
      </c>
      <c r="D15" s="485">
        <f>SUM(D30,D45)</f>
        <v>47</v>
      </c>
      <c r="E15" s="485">
        <f>SUM(E30,E45)</f>
        <v>639</v>
      </c>
      <c r="F15" s="485">
        <f>SUM(F30,F45)</f>
        <v>5</v>
      </c>
      <c r="G15" s="485"/>
      <c r="H15" s="485"/>
      <c r="I15" s="485"/>
      <c r="J15" s="485"/>
      <c r="K15" s="486">
        <f t="shared" si="0"/>
        <v>691</v>
      </c>
      <c r="L15" s="416"/>
    </row>
    <row r="16" spans="2:17" ht="15" x14ac:dyDescent="0.25">
      <c r="B16" s="481"/>
      <c r="C16" s="485">
        <v>7</v>
      </c>
      <c r="D16" s="485"/>
      <c r="E16" s="485">
        <f>SUM(E31,E46)</f>
        <v>53</v>
      </c>
      <c r="F16" s="485">
        <f>SUM(F31,F46)</f>
        <v>622</v>
      </c>
      <c r="G16" s="485">
        <f>SUM(G31,G46)</f>
        <v>1</v>
      </c>
      <c r="H16" s="485"/>
      <c r="I16" s="485"/>
      <c r="J16" s="485"/>
      <c r="K16" s="486">
        <f t="shared" si="0"/>
        <v>676</v>
      </c>
      <c r="L16" s="416"/>
    </row>
    <row r="17" spans="2:12" ht="15" x14ac:dyDescent="0.25">
      <c r="B17" s="481"/>
      <c r="C17" s="485">
        <v>8</v>
      </c>
      <c r="D17" s="485"/>
      <c r="E17" s="485">
        <f>SUM(E32,E47)</f>
        <v>0</v>
      </c>
      <c r="F17" s="485">
        <f>SUM(F32,F47)</f>
        <v>46</v>
      </c>
      <c r="G17" s="485">
        <f>SUM(G32,G47)</f>
        <v>695</v>
      </c>
      <c r="H17" s="485">
        <f>SUM(H32,H47)</f>
        <v>20</v>
      </c>
      <c r="I17" s="485"/>
      <c r="J17" s="485"/>
      <c r="K17" s="486">
        <f t="shared" si="0"/>
        <v>761</v>
      </c>
      <c r="L17" s="416"/>
    </row>
    <row r="18" spans="2:12" ht="15" x14ac:dyDescent="0.25">
      <c r="B18" s="481"/>
      <c r="C18" s="485">
        <v>9</v>
      </c>
      <c r="D18" s="485"/>
      <c r="E18" s="485">
        <f>SUM(E33,E48)</f>
        <v>0</v>
      </c>
      <c r="F18" s="485">
        <f>SUM(F33,F48)</f>
        <v>0</v>
      </c>
      <c r="G18" s="485">
        <f>SUM(G33,G48)</f>
        <v>38</v>
      </c>
      <c r="H18" s="485">
        <f>SUM(H33,H48)</f>
        <v>672</v>
      </c>
      <c r="I18" s="485">
        <f t="shared" ref="I18:J21" si="1">SUM(I33,I48)</f>
        <v>11</v>
      </c>
      <c r="J18" s="485">
        <f t="shared" si="1"/>
        <v>0</v>
      </c>
      <c r="K18" s="486">
        <f t="shared" si="0"/>
        <v>721</v>
      </c>
      <c r="L18" s="416"/>
    </row>
    <row r="19" spans="2:12" ht="15" x14ac:dyDescent="0.25">
      <c r="B19" s="481"/>
      <c r="C19" s="485">
        <v>10</v>
      </c>
      <c r="D19" s="485"/>
      <c r="E19" s="485"/>
      <c r="F19" s="485"/>
      <c r="G19" s="485">
        <f>SUM(G34,G49)</f>
        <v>0</v>
      </c>
      <c r="H19" s="485">
        <f>SUM(H34,H49)</f>
        <v>33</v>
      </c>
      <c r="I19" s="485">
        <f t="shared" si="1"/>
        <v>738</v>
      </c>
      <c r="J19" s="485">
        <f t="shared" si="1"/>
        <v>7</v>
      </c>
      <c r="K19" s="486">
        <f t="shared" si="0"/>
        <v>778</v>
      </c>
      <c r="L19" s="416"/>
    </row>
    <row r="20" spans="2:12" ht="15" x14ac:dyDescent="0.25">
      <c r="B20" s="481"/>
      <c r="C20" s="485">
        <v>11</v>
      </c>
      <c r="D20" s="485"/>
      <c r="E20" s="485"/>
      <c r="F20" s="485"/>
      <c r="G20" s="485"/>
      <c r="H20" s="485">
        <f>SUM(H35,H50)</f>
        <v>0</v>
      </c>
      <c r="I20" s="485">
        <f t="shared" si="1"/>
        <v>53</v>
      </c>
      <c r="J20" s="485">
        <f t="shared" si="1"/>
        <v>6</v>
      </c>
      <c r="K20" s="486">
        <f t="shared" si="0"/>
        <v>59</v>
      </c>
      <c r="L20" s="416"/>
    </row>
    <row r="21" spans="2:12" ht="15" x14ac:dyDescent="0.25">
      <c r="B21" s="481"/>
      <c r="C21" s="485">
        <v>12</v>
      </c>
      <c r="D21" s="485"/>
      <c r="E21" s="485"/>
      <c r="F21" s="485"/>
      <c r="G21" s="485"/>
      <c r="H21" s="485"/>
      <c r="I21" s="485">
        <f t="shared" si="1"/>
        <v>12</v>
      </c>
      <c r="J21" s="485">
        <f t="shared" si="1"/>
        <v>0</v>
      </c>
      <c r="K21" s="486">
        <f t="shared" si="0"/>
        <v>12</v>
      </c>
      <c r="L21" s="416"/>
    </row>
    <row r="22" spans="2:12" ht="15" x14ac:dyDescent="0.25">
      <c r="B22" s="481"/>
      <c r="C22" s="485">
        <v>13</v>
      </c>
      <c r="D22" s="485"/>
      <c r="E22" s="485"/>
      <c r="F22" s="485"/>
      <c r="G22" s="485"/>
      <c r="H22" s="485"/>
      <c r="I22" s="485"/>
      <c r="J22" s="485"/>
      <c r="K22" s="485"/>
      <c r="L22" s="416"/>
    </row>
    <row r="23" spans="2:12" ht="15" x14ac:dyDescent="0.25">
      <c r="B23" s="481"/>
      <c r="C23" s="485">
        <v>14</v>
      </c>
      <c r="D23" s="485"/>
      <c r="E23" s="485"/>
      <c r="F23" s="485"/>
      <c r="G23" s="485"/>
      <c r="H23" s="485"/>
      <c r="I23" s="485"/>
      <c r="J23" s="485"/>
      <c r="K23" s="485"/>
      <c r="L23" s="416"/>
    </row>
    <row r="24" spans="2:12" ht="15" x14ac:dyDescent="0.25">
      <c r="B24" s="481"/>
      <c r="C24" s="486" t="s">
        <v>24</v>
      </c>
      <c r="D24" s="486">
        <f>SUM(D13:D23)</f>
        <v>722</v>
      </c>
      <c r="E24" s="485">
        <f>SUM(E39,E54)</f>
        <v>696</v>
      </c>
      <c r="F24" s="485">
        <f>SUM(F39,F54)</f>
        <v>673</v>
      </c>
      <c r="G24" s="485">
        <f>SUM(G39,G54)</f>
        <v>734</v>
      </c>
      <c r="H24" s="486">
        <f>SUM(H13:H23)</f>
        <v>725</v>
      </c>
      <c r="I24" s="485">
        <f>SUM(I39,I54)</f>
        <v>814</v>
      </c>
      <c r="J24" s="485">
        <f>SUM(J39,J54)</f>
        <v>13</v>
      </c>
      <c r="K24" s="486">
        <f>SUM(K13:K23)</f>
        <v>4377</v>
      </c>
      <c r="L24" s="416"/>
    </row>
    <row r="25" spans="2:12" ht="15" x14ac:dyDescent="0.25">
      <c r="B25" s="481"/>
      <c r="C25" s="487"/>
      <c r="D25" s="487"/>
      <c r="E25" s="487"/>
      <c r="F25" s="487"/>
      <c r="G25" s="487"/>
      <c r="H25" s="487"/>
      <c r="I25" s="487"/>
      <c r="J25" s="487"/>
      <c r="K25" s="488"/>
      <c r="L25" s="416"/>
    </row>
    <row r="26" spans="2:12" ht="15" x14ac:dyDescent="0.25">
      <c r="B26" s="481"/>
      <c r="C26" s="489" t="s">
        <v>26</v>
      </c>
      <c r="D26" s="479"/>
      <c r="E26" s="479"/>
      <c r="F26" s="479"/>
      <c r="G26" s="479"/>
      <c r="H26" s="479"/>
      <c r="I26" s="479"/>
      <c r="J26" s="479"/>
      <c r="K26" s="490"/>
      <c r="L26" s="416"/>
    </row>
    <row r="27" spans="2:12" ht="30" x14ac:dyDescent="0.25">
      <c r="B27" s="481"/>
      <c r="C27" s="482" t="s">
        <v>226</v>
      </c>
      <c r="D27" s="483" t="s">
        <v>305</v>
      </c>
      <c r="E27" s="483" t="s">
        <v>300</v>
      </c>
      <c r="F27" s="483" t="s">
        <v>301</v>
      </c>
      <c r="G27" s="483" t="s">
        <v>302</v>
      </c>
      <c r="H27" s="483" t="s">
        <v>303</v>
      </c>
      <c r="I27" s="483" t="s">
        <v>304</v>
      </c>
      <c r="J27" s="483" t="s">
        <v>291</v>
      </c>
      <c r="K27" s="484" t="s">
        <v>24</v>
      </c>
      <c r="L27" s="416"/>
    </row>
    <row r="28" spans="2:12" ht="15" x14ac:dyDescent="0.25">
      <c r="B28" s="481"/>
      <c r="C28" s="485">
        <v>4</v>
      </c>
      <c r="D28" s="485">
        <v>2</v>
      </c>
      <c r="E28" s="485"/>
      <c r="F28" s="485"/>
      <c r="G28" s="485"/>
      <c r="H28" s="485"/>
      <c r="I28" s="485"/>
      <c r="J28" s="485"/>
      <c r="K28" s="486">
        <f t="shared" ref="K28:K36" si="2">SUM(D28:J28)</f>
        <v>2</v>
      </c>
      <c r="L28" s="416"/>
    </row>
    <row r="29" spans="2:12" ht="15" x14ac:dyDescent="0.25">
      <c r="B29" s="481"/>
      <c r="C29" s="485">
        <v>5</v>
      </c>
      <c r="D29" s="485">
        <v>343</v>
      </c>
      <c r="E29" s="485">
        <v>3</v>
      </c>
      <c r="F29" s="485"/>
      <c r="G29" s="485"/>
      <c r="H29" s="485"/>
      <c r="I29" s="485"/>
      <c r="J29" s="485"/>
      <c r="K29" s="486">
        <f t="shared" si="2"/>
        <v>346</v>
      </c>
      <c r="L29" s="416"/>
    </row>
    <row r="30" spans="2:12" ht="15" x14ac:dyDescent="0.25">
      <c r="B30" s="481"/>
      <c r="C30" s="485">
        <v>6</v>
      </c>
      <c r="D30" s="485">
        <v>20</v>
      </c>
      <c r="E30" s="485">
        <v>320</v>
      </c>
      <c r="F30" s="485">
        <v>2</v>
      </c>
      <c r="G30" s="485"/>
      <c r="H30" s="485"/>
      <c r="I30" s="485"/>
      <c r="J30" s="485"/>
      <c r="K30" s="486">
        <f t="shared" si="2"/>
        <v>342</v>
      </c>
      <c r="L30" s="416"/>
    </row>
    <row r="31" spans="2:12" ht="15" x14ac:dyDescent="0.25">
      <c r="B31" s="481"/>
      <c r="C31" s="485">
        <v>7</v>
      </c>
      <c r="D31" s="486"/>
      <c r="E31" s="485">
        <v>31</v>
      </c>
      <c r="F31" s="485">
        <v>330</v>
      </c>
      <c r="G31" s="485">
        <v>1</v>
      </c>
      <c r="H31" s="485"/>
      <c r="I31" s="485"/>
      <c r="J31" s="485"/>
      <c r="K31" s="486">
        <f t="shared" si="2"/>
        <v>362</v>
      </c>
      <c r="L31" s="416"/>
    </row>
    <row r="32" spans="2:12" ht="15" x14ac:dyDescent="0.25">
      <c r="B32" s="481"/>
      <c r="C32" s="485">
        <v>8</v>
      </c>
      <c r="D32" s="486"/>
      <c r="E32" s="486"/>
      <c r="F32" s="485">
        <v>18</v>
      </c>
      <c r="G32" s="485">
        <v>348</v>
      </c>
      <c r="H32" s="485">
        <v>12</v>
      </c>
      <c r="I32" s="485"/>
      <c r="J32" s="485"/>
      <c r="K32" s="486">
        <f t="shared" si="2"/>
        <v>378</v>
      </c>
      <c r="L32" s="416"/>
    </row>
    <row r="33" spans="2:12" ht="15" x14ac:dyDescent="0.25">
      <c r="B33" s="481"/>
      <c r="C33" s="485">
        <v>9</v>
      </c>
      <c r="D33" s="486"/>
      <c r="E33" s="486"/>
      <c r="F33" s="486"/>
      <c r="G33" s="485">
        <v>16</v>
      </c>
      <c r="H33" s="485">
        <v>337</v>
      </c>
      <c r="I33" s="485">
        <v>7</v>
      </c>
      <c r="J33" s="485"/>
      <c r="K33" s="486">
        <f t="shared" si="2"/>
        <v>360</v>
      </c>
      <c r="L33" s="416"/>
    </row>
    <row r="34" spans="2:12" ht="15" x14ac:dyDescent="0.25">
      <c r="B34" s="481"/>
      <c r="C34" s="485">
        <v>10</v>
      </c>
      <c r="D34" s="486"/>
      <c r="E34" s="486"/>
      <c r="F34" s="486"/>
      <c r="G34" s="486"/>
      <c r="H34" s="485">
        <v>12</v>
      </c>
      <c r="I34" s="485">
        <v>377</v>
      </c>
      <c r="J34" s="485">
        <v>3</v>
      </c>
      <c r="K34" s="486">
        <f t="shared" si="2"/>
        <v>392</v>
      </c>
      <c r="L34" s="416"/>
    </row>
    <row r="35" spans="2:12" ht="15" x14ac:dyDescent="0.25">
      <c r="B35" s="481"/>
      <c r="C35" s="485">
        <v>11</v>
      </c>
      <c r="D35" s="486"/>
      <c r="E35" s="486"/>
      <c r="F35" s="486"/>
      <c r="G35" s="486"/>
      <c r="H35" s="486"/>
      <c r="I35" s="485">
        <v>23</v>
      </c>
      <c r="J35" s="485">
        <v>3</v>
      </c>
      <c r="K35" s="486">
        <f t="shared" si="2"/>
        <v>26</v>
      </c>
      <c r="L35" s="416"/>
    </row>
    <row r="36" spans="2:12" ht="15" x14ac:dyDescent="0.25">
      <c r="B36" s="481"/>
      <c r="C36" s="485">
        <v>12</v>
      </c>
      <c r="D36" s="486"/>
      <c r="E36" s="486"/>
      <c r="F36" s="486"/>
      <c r="G36" s="486"/>
      <c r="H36" s="486"/>
      <c r="I36" s="485">
        <v>6</v>
      </c>
      <c r="J36" s="485"/>
      <c r="K36" s="486">
        <f t="shared" si="2"/>
        <v>6</v>
      </c>
      <c r="L36" s="416"/>
    </row>
    <row r="37" spans="2:12" ht="15" x14ac:dyDescent="0.25">
      <c r="B37" s="481"/>
      <c r="C37" s="485">
        <v>13</v>
      </c>
      <c r="D37" s="486"/>
      <c r="E37" s="486"/>
      <c r="F37" s="486"/>
      <c r="G37" s="486"/>
      <c r="H37" s="486"/>
      <c r="I37" s="485"/>
      <c r="J37" s="485"/>
      <c r="K37" s="486">
        <v>0</v>
      </c>
      <c r="L37" s="416"/>
    </row>
    <row r="38" spans="2:12" ht="15" x14ac:dyDescent="0.25">
      <c r="B38" s="481"/>
      <c r="C38" s="485">
        <v>14</v>
      </c>
      <c r="D38" s="486"/>
      <c r="E38" s="486"/>
      <c r="F38" s="486"/>
      <c r="G38" s="486"/>
      <c r="H38" s="486"/>
      <c r="I38" s="486"/>
      <c r="J38" s="486"/>
      <c r="K38" s="486">
        <v>0</v>
      </c>
      <c r="L38" s="416"/>
    </row>
    <row r="39" spans="2:12" ht="15" x14ac:dyDescent="0.25">
      <c r="B39" s="481"/>
      <c r="C39" s="486" t="s">
        <v>24</v>
      </c>
      <c r="D39" s="486">
        <f t="shared" ref="D39:K39" si="3">SUM(D28:D38)</f>
        <v>365</v>
      </c>
      <c r="E39" s="486">
        <f t="shared" si="3"/>
        <v>354</v>
      </c>
      <c r="F39" s="486">
        <f t="shared" si="3"/>
        <v>350</v>
      </c>
      <c r="G39" s="486">
        <f t="shared" si="3"/>
        <v>365</v>
      </c>
      <c r="H39" s="486">
        <f t="shared" si="3"/>
        <v>361</v>
      </c>
      <c r="I39" s="486">
        <f t="shared" si="3"/>
        <v>413</v>
      </c>
      <c r="J39" s="486">
        <f t="shared" si="3"/>
        <v>6</v>
      </c>
      <c r="K39" s="486">
        <f t="shared" si="3"/>
        <v>2214</v>
      </c>
      <c r="L39" s="491"/>
    </row>
    <row r="40" spans="2:12" ht="15" x14ac:dyDescent="0.25">
      <c r="B40" s="481"/>
      <c r="C40" s="488"/>
      <c r="D40" s="488"/>
      <c r="E40" s="488"/>
      <c r="F40" s="488"/>
      <c r="G40" s="488"/>
      <c r="H40" s="488"/>
      <c r="I40" s="488"/>
      <c r="J40" s="488"/>
      <c r="K40" s="488"/>
      <c r="L40" s="416"/>
    </row>
    <row r="41" spans="2:12" ht="15" x14ac:dyDescent="0.25">
      <c r="B41" s="481"/>
      <c r="C41" s="478" t="s">
        <v>25</v>
      </c>
      <c r="D41" s="479"/>
      <c r="E41" s="479"/>
      <c r="F41" s="479"/>
      <c r="G41" s="479"/>
      <c r="H41" s="479"/>
      <c r="I41" s="479"/>
      <c r="J41" s="479"/>
      <c r="K41" s="490"/>
      <c r="L41" s="416"/>
    </row>
    <row r="42" spans="2:12" ht="30" x14ac:dyDescent="0.25">
      <c r="B42" s="481"/>
      <c r="C42" s="482" t="s">
        <v>226</v>
      </c>
      <c r="D42" s="483" t="s">
        <v>305</v>
      </c>
      <c r="E42" s="483" t="s">
        <v>300</v>
      </c>
      <c r="F42" s="483" t="s">
        <v>301</v>
      </c>
      <c r="G42" s="483" t="s">
        <v>302</v>
      </c>
      <c r="H42" s="483" t="s">
        <v>303</v>
      </c>
      <c r="I42" s="483" t="s">
        <v>304</v>
      </c>
      <c r="J42" s="483" t="s">
        <v>291</v>
      </c>
      <c r="K42" s="484" t="s">
        <v>24</v>
      </c>
      <c r="L42" s="416"/>
    </row>
    <row r="43" spans="2:12" ht="15" x14ac:dyDescent="0.25">
      <c r="B43" s="481"/>
      <c r="C43" s="485">
        <v>4</v>
      </c>
      <c r="D43" s="485">
        <v>2</v>
      </c>
      <c r="E43" s="485"/>
      <c r="F43" s="485"/>
      <c r="G43" s="485"/>
      <c r="H43" s="485"/>
      <c r="I43" s="485"/>
      <c r="J43" s="485"/>
      <c r="K43" s="486">
        <f t="shared" ref="K43:K51" si="4">SUM(D43:J43)</f>
        <v>2</v>
      </c>
      <c r="L43" s="416"/>
    </row>
    <row r="44" spans="2:12" ht="15" x14ac:dyDescent="0.25">
      <c r="B44" s="481"/>
      <c r="C44" s="485">
        <v>5</v>
      </c>
      <c r="D44" s="485">
        <v>328</v>
      </c>
      <c r="E44" s="485">
        <v>1</v>
      </c>
      <c r="F44" s="485"/>
      <c r="G44" s="485"/>
      <c r="H44" s="485"/>
      <c r="I44" s="485"/>
      <c r="J44" s="485"/>
      <c r="K44" s="486">
        <f t="shared" si="4"/>
        <v>329</v>
      </c>
      <c r="L44" s="492"/>
    </row>
    <row r="45" spans="2:12" ht="15" x14ac:dyDescent="0.25">
      <c r="B45" s="481"/>
      <c r="C45" s="485">
        <v>6</v>
      </c>
      <c r="D45" s="485">
        <v>27</v>
      </c>
      <c r="E45" s="485">
        <v>319</v>
      </c>
      <c r="F45" s="485">
        <v>3</v>
      </c>
      <c r="G45" s="485"/>
      <c r="H45" s="485"/>
      <c r="I45" s="485"/>
      <c r="J45" s="485"/>
      <c r="K45" s="486">
        <f t="shared" si="4"/>
        <v>349</v>
      </c>
      <c r="L45" s="492"/>
    </row>
    <row r="46" spans="2:12" ht="15" x14ac:dyDescent="0.25">
      <c r="B46" s="481"/>
      <c r="C46" s="485">
        <v>7</v>
      </c>
      <c r="D46" s="485"/>
      <c r="E46" s="485">
        <v>22</v>
      </c>
      <c r="F46" s="485">
        <v>292</v>
      </c>
      <c r="G46" s="485"/>
      <c r="H46" s="485"/>
      <c r="I46" s="485"/>
      <c r="J46" s="485"/>
      <c r="K46" s="486">
        <f t="shared" si="4"/>
        <v>314</v>
      </c>
      <c r="L46" s="481"/>
    </row>
    <row r="47" spans="2:12" s="404" customFormat="1" ht="15" customHeight="1" x14ac:dyDescent="0.25">
      <c r="B47" s="493"/>
      <c r="C47" s="485">
        <v>8</v>
      </c>
      <c r="D47" s="485"/>
      <c r="E47" s="485"/>
      <c r="F47" s="485">
        <v>28</v>
      </c>
      <c r="G47" s="485">
        <v>347</v>
      </c>
      <c r="H47" s="485">
        <v>8</v>
      </c>
      <c r="I47" s="485"/>
      <c r="J47" s="485"/>
      <c r="K47" s="486">
        <f t="shared" si="4"/>
        <v>383</v>
      </c>
      <c r="L47" s="481"/>
    </row>
    <row r="48" spans="2:12" s="404" customFormat="1" ht="15" customHeight="1" x14ac:dyDescent="0.25">
      <c r="B48" s="493"/>
      <c r="C48" s="485">
        <v>9</v>
      </c>
      <c r="D48" s="485"/>
      <c r="E48" s="485"/>
      <c r="F48" s="485"/>
      <c r="G48" s="485">
        <v>22</v>
      </c>
      <c r="H48" s="485">
        <v>335</v>
      </c>
      <c r="I48" s="485">
        <v>4</v>
      </c>
      <c r="J48" s="485"/>
      <c r="K48" s="486">
        <f t="shared" si="4"/>
        <v>361</v>
      </c>
      <c r="L48" s="481"/>
    </row>
    <row r="49" spans="2:12" s="404" customFormat="1" ht="15" x14ac:dyDescent="0.25">
      <c r="B49" s="477"/>
      <c r="C49" s="485">
        <v>10</v>
      </c>
      <c r="D49" s="485"/>
      <c r="E49" s="485"/>
      <c r="F49" s="485"/>
      <c r="G49" s="485"/>
      <c r="H49" s="485">
        <v>21</v>
      </c>
      <c r="I49" s="485">
        <v>361</v>
      </c>
      <c r="J49" s="485">
        <v>4</v>
      </c>
      <c r="K49" s="486">
        <f t="shared" si="4"/>
        <v>386</v>
      </c>
      <c r="L49" s="494"/>
    </row>
    <row r="50" spans="2:12" s="404" customFormat="1" ht="15" x14ac:dyDescent="0.25">
      <c r="B50" s="477"/>
      <c r="C50" s="485">
        <v>11</v>
      </c>
      <c r="D50" s="485"/>
      <c r="E50" s="485"/>
      <c r="F50" s="485"/>
      <c r="G50" s="485"/>
      <c r="H50" s="485"/>
      <c r="I50" s="485">
        <v>30</v>
      </c>
      <c r="J50" s="485">
        <v>3</v>
      </c>
      <c r="K50" s="486">
        <f t="shared" si="4"/>
        <v>33</v>
      </c>
      <c r="L50" s="480"/>
    </row>
    <row r="51" spans="2:12" ht="15" x14ac:dyDescent="0.25">
      <c r="B51" s="481"/>
      <c r="C51" s="485">
        <v>12</v>
      </c>
      <c r="D51" s="485"/>
      <c r="E51" s="485"/>
      <c r="F51" s="485"/>
      <c r="G51" s="485"/>
      <c r="H51" s="485"/>
      <c r="I51" s="485">
        <v>6</v>
      </c>
      <c r="J51" s="485"/>
      <c r="K51" s="486">
        <f t="shared" si="4"/>
        <v>6</v>
      </c>
      <c r="L51" s="416"/>
    </row>
    <row r="52" spans="2:12" ht="15" x14ac:dyDescent="0.25">
      <c r="B52" s="481"/>
      <c r="C52" s="485">
        <v>13</v>
      </c>
      <c r="D52" s="485"/>
      <c r="E52" s="485"/>
      <c r="F52" s="485"/>
      <c r="G52" s="485"/>
      <c r="H52" s="485"/>
      <c r="I52" s="485"/>
      <c r="J52" s="485"/>
      <c r="K52" s="485"/>
      <c r="L52" s="416"/>
    </row>
    <row r="53" spans="2:12" ht="15" x14ac:dyDescent="0.25">
      <c r="B53" s="481"/>
      <c r="C53" s="485">
        <v>14</v>
      </c>
      <c r="D53" s="485"/>
      <c r="E53" s="485"/>
      <c r="F53" s="485"/>
      <c r="G53" s="485"/>
      <c r="H53" s="485"/>
      <c r="I53" s="485"/>
      <c r="J53" s="485"/>
      <c r="K53" s="485"/>
      <c r="L53" s="416"/>
    </row>
    <row r="54" spans="2:12" x14ac:dyDescent="0.2">
      <c r="B54" s="481"/>
      <c r="C54" s="439" t="s">
        <v>24</v>
      </c>
      <c r="D54" s="439">
        <f>SUM(D43:D53)</f>
        <v>357</v>
      </c>
      <c r="E54" s="439">
        <f>SUM(E43:E53)</f>
        <v>342</v>
      </c>
      <c r="F54" s="439">
        <f t="shared" ref="F54:K54" si="5">SUM(F43:F53)</f>
        <v>323</v>
      </c>
      <c r="G54" s="439">
        <f t="shared" si="5"/>
        <v>369</v>
      </c>
      <c r="H54" s="439">
        <f t="shared" si="5"/>
        <v>364</v>
      </c>
      <c r="I54" s="439">
        <f t="shared" si="5"/>
        <v>401</v>
      </c>
      <c r="J54" s="439">
        <f t="shared" si="5"/>
        <v>7</v>
      </c>
      <c r="K54" s="439">
        <f t="shared" si="5"/>
        <v>2163</v>
      </c>
      <c r="L54" s="492"/>
    </row>
    <row r="55" spans="2:12" x14ac:dyDescent="0.2">
      <c r="B55" s="481"/>
      <c r="C55" s="416"/>
      <c r="D55" s="416"/>
      <c r="E55" s="492"/>
      <c r="F55" s="416"/>
      <c r="G55" s="416"/>
      <c r="H55" s="492"/>
      <c r="I55" s="416"/>
      <c r="J55" s="416"/>
      <c r="K55" s="416"/>
      <c r="L55" s="492"/>
    </row>
    <row r="56" spans="2:12" x14ac:dyDescent="0.2">
      <c r="C56" s="369" t="s">
        <v>187</v>
      </c>
      <c r="D56" s="442"/>
      <c r="L56" s="443"/>
    </row>
    <row r="57" spans="2:12" x14ac:dyDescent="0.2">
      <c r="B57" s="431"/>
      <c r="C57" s="431"/>
      <c r="L57" s="431"/>
    </row>
    <row r="58" spans="2:12" ht="44.25" customHeight="1" x14ac:dyDescent="0.2">
      <c r="B58" s="431"/>
      <c r="C58" s="590" t="s">
        <v>299</v>
      </c>
      <c r="D58" s="590"/>
      <c r="E58" s="590"/>
      <c r="F58" s="590"/>
      <c r="G58" s="590"/>
      <c r="H58" s="590"/>
      <c r="I58" s="590"/>
      <c r="J58" s="590"/>
      <c r="K58" s="590"/>
      <c r="L58" s="431"/>
    </row>
    <row r="59" spans="2:12" ht="13.5" customHeight="1" x14ac:dyDescent="0.2">
      <c r="B59" s="431"/>
      <c r="C59" s="590"/>
      <c r="D59" s="590"/>
      <c r="E59" s="590"/>
      <c r="F59" s="590"/>
      <c r="G59" s="590"/>
      <c r="H59" s="590"/>
      <c r="I59" s="590"/>
      <c r="J59" s="590"/>
      <c r="K59" s="590"/>
      <c r="L59" s="431"/>
    </row>
    <row r="60" spans="2:12" x14ac:dyDescent="0.2"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</row>
    <row r="61" spans="2:12" x14ac:dyDescent="0.2">
      <c r="B61" s="417"/>
      <c r="C61" s="598"/>
      <c r="D61" s="598"/>
      <c r="E61" s="598"/>
      <c r="F61" s="598"/>
      <c r="G61" s="598"/>
      <c r="H61" s="598"/>
      <c r="I61" s="598"/>
      <c r="J61" s="598"/>
      <c r="K61" s="598"/>
      <c r="L61" s="417"/>
    </row>
  </sheetData>
  <mergeCells count="4">
    <mergeCell ref="C58:K58"/>
    <mergeCell ref="C59:K59"/>
    <mergeCell ref="C61:K61"/>
    <mergeCell ref="H2:K2"/>
  </mergeCells>
  <pageMargins left="0.7" right="0.7" top="0.75" bottom="0.75" header="0.3" footer="0.3"/>
  <pageSetup scale="72" orientation="portrait" r:id="rId1"/>
  <ignoredErrors>
    <ignoredError sqref="K28:K36 K43:K51" formulaRange="1"/>
    <ignoredError sqref="H2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68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76200</xdr:rowOff>
              </from>
              <to>
                <xdr:col>1</xdr:col>
                <xdr:colOff>533400</xdr:colOff>
                <xdr:row>3</xdr:row>
                <xdr:rowOff>47625</xdr:rowOff>
              </to>
            </anchor>
          </objectPr>
        </oleObject>
      </mc:Choice>
      <mc:Fallback>
        <oleObject progId="MSPhotoEd.3" shapeId="368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zoomScaleNormal="100" workbookViewId="0">
      <selection activeCell="O2" sqref="O2"/>
    </sheetView>
  </sheetViews>
  <sheetFormatPr defaultRowHeight="12.75" x14ac:dyDescent="0.2"/>
  <cols>
    <col min="1" max="11" width="9.140625" style="29"/>
    <col min="12" max="12" width="9.5703125" style="29" bestFit="1" customWidth="1"/>
    <col min="13" max="16384" width="9.140625" style="29"/>
  </cols>
  <sheetData>
    <row r="1" spans="1:13" ht="14.25" x14ac:dyDescent="0.2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14.25" x14ac:dyDescent="0.2">
      <c r="A2" s="399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ht="14.25" x14ac:dyDescent="0.2">
      <c r="A3" s="399"/>
      <c r="B3" s="399"/>
      <c r="C3" s="399"/>
      <c r="D3" s="399"/>
      <c r="E3" s="399"/>
      <c r="F3" s="399"/>
      <c r="G3" s="399"/>
      <c r="H3" s="399"/>
      <c r="I3" s="586" t="s">
        <v>349</v>
      </c>
      <c r="J3" s="586"/>
      <c r="K3" s="586"/>
      <c r="L3" s="586"/>
    </row>
    <row r="4" spans="1:13" ht="15" x14ac:dyDescent="0.25">
      <c r="A4" s="399"/>
      <c r="B4" s="399"/>
      <c r="C4" s="399"/>
      <c r="D4" s="399"/>
      <c r="E4" s="399"/>
      <c r="F4" s="399"/>
      <c r="G4" s="399"/>
      <c r="H4" s="399"/>
      <c r="I4" s="399"/>
      <c r="L4" s="445"/>
      <c r="M4" s="446"/>
    </row>
    <row r="5" spans="1:13" x14ac:dyDescent="0.2">
      <c r="A5" s="351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</row>
    <row r="6" spans="1:13" x14ac:dyDescent="0.2">
      <c r="A6" s="351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</row>
    <row r="7" spans="1:13" ht="15.75" x14ac:dyDescent="0.25">
      <c r="A7" s="589" t="s">
        <v>364</v>
      </c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</row>
    <row r="8" spans="1:13" ht="15.75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433"/>
    </row>
    <row r="9" spans="1:13" ht="30" customHeight="1" x14ac:dyDescent="0.25">
      <c r="B9" s="495"/>
      <c r="C9" s="495"/>
      <c r="D9" s="599" t="s">
        <v>365</v>
      </c>
      <c r="E9" s="599"/>
      <c r="F9" s="599"/>
      <c r="G9" s="599"/>
      <c r="H9" s="599"/>
      <c r="I9" s="599"/>
      <c r="J9" s="599"/>
      <c r="K9" s="599"/>
      <c r="L9" s="599"/>
      <c r="M9" s="495"/>
    </row>
    <row r="10" spans="1:13" ht="15" x14ac:dyDescent="0.25">
      <c r="A10" s="476"/>
      <c r="B10" s="476"/>
      <c r="C10" s="476"/>
      <c r="D10" s="476"/>
      <c r="E10" s="399"/>
      <c r="F10" s="399"/>
      <c r="G10" s="399"/>
      <c r="H10" s="399"/>
      <c r="I10" s="399"/>
      <c r="J10" s="399"/>
      <c r="K10" s="399"/>
      <c r="L10" s="399"/>
      <c r="M10" s="399"/>
    </row>
    <row r="11" spans="1:13" ht="15" x14ac:dyDescent="0.25">
      <c r="A11" s="477"/>
      <c r="B11" s="477"/>
      <c r="C11" s="477"/>
      <c r="D11" s="478" t="s">
        <v>24</v>
      </c>
      <c r="E11" s="479"/>
      <c r="F11" s="479"/>
      <c r="G11" s="479"/>
      <c r="H11" s="479"/>
      <c r="I11" s="479"/>
      <c r="J11" s="479"/>
      <c r="K11" s="479"/>
      <c r="L11" s="479"/>
      <c r="M11" s="480"/>
    </row>
    <row r="12" spans="1:13" ht="15" x14ac:dyDescent="0.25">
      <c r="A12" s="481"/>
      <c r="B12" s="481"/>
      <c r="C12" s="481"/>
      <c r="D12" s="482" t="s">
        <v>239</v>
      </c>
      <c r="E12" s="484" t="s">
        <v>240</v>
      </c>
      <c r="F12" s="484" t="s">
        <v>241</v>
      </c>
      <c r="G12" s="484" t="s">
        <v>242</v>
      </c>
      <c r="H12" s="484" t="s">
        <v>243</v>
      </c>
      <c r="I12" s="484" t="s">
        <v>244</v>
      </c>
      <c r="J12" s="484" t="s">
        <v>245</v>
      </c>
      <c r="K12" s="484" t="s">
        <v>246</v>
      </c>
      <c r="L12" s="484" t="s">
        <v>24</v>
      </c>
      <c r="M12" s="416"/>
    </row>
    <row r="13" spans="1:13" ht="15" x14ac:dyDescent="0.25">
      <c r="A13" s="481"/>
      <c r="B13" s="481"/>
      <c r="C13" s="481"/>
      <c r="D13" s="485">
        <v>10</v>
      </c>
      <c r="E13" s="485">
        <f>SUM(E42,E28)</f>
        <v>10</v>
      </c>
      <c r="F13" s="485"/>
      <c r="G13" s="485"/>
      <c r="H13" s="485"/>
      <c r="I13" s="485"/>
      <c r="J13" s="485"/>
      <c r="K13" s="485"/>
      <c r="L13" s="496">
        <f>SUM(L42,L28)</f>
        <v>10</v>
      </c>
      <c r="M13" s="416"/>
    </row>
    <row r="14" spans="1:13" ht="15" x14ac:dyDescent="0.25">
      <c r="A14" s="481"/>
      <c r="B14" s="481"/>
      <c r="C14" s="481"/>
      <c r="D14" s="485">
        <v>11</v>
      </c>
      <c r="E14" s="485">
        <f>SUM(E43,E29)</f>
        <v>690</v>
      </c>
      <c r="F14" s="485">
        <f>SUM(F43,F29)</f>
        <v>29</v>
      </c>
      <c r="G14" s="485"/>
      <c r="H14" s="485"/>
      <c r="I14" s="485"/>
      <c r="J14" s="485"/>
      <c r="K14" s="485"/>
      <c r="L14" s="496">
        <f>SUM(L43,L29)</f>
        <v>719</v>
      </c>
      <c r="M14" s="416"/>
    </row>
    <row r="15" spans="1:13" ht="15" x14ac:dyDescent="0.25">
      <c r="A15" s="481"/>
      <c r="B15" s="481"/>
      <c r="C15" s="481"/>
      <c r="D15" s="485">
        <v>12</v>
      </c>
      <c r="E15" s="485">
        <f>SUM(E44,E30)</f>
        <v>87</v>
      </c>
      <c r="F15" s="485">
        <f>SUM(F44,F30)</f>
        <v>661</v>
      </c>
      <c r="G15" s="485">
        <f>SUM(G44,G30)</f>
        <v>15</v>
      </c>
      <c r="H15" s="485"/>
      <c r="I15" s="485"/>
      <c r="J15" s="485"/>
      <c r="K15" s="485"/>
      <c r="L15" s="496">
        <f>SUM(L44,L30)</f>
        <v>763</v>
      </c>
      <c r="M15" s="416"/>
    </row>
    <row r="16" spans="1:13" ht="15" x14ac:dyDescent="0.25">
      <c r="A16" s="481"/>
      <c r="B16" s="481"/>
      <c r="C16" s="481"/>
      <c r="D16" s="485">
        <v>13</v>
      </c>
      <c r="E16" s="485">
        <f>SUM(E45,E31)</f>
        <v>3</v>
      </c>
      <c r="F16" s="485">
        <f>SUM(F45,F31)</f>
        <v>84</v>
      </c>
      <c r="G16" s="485">
        <f>SUM(G45,G31)</f>
        <v>678</v>
      </c>
      <c r="H16" s="485">
        <f>SUM(H45,H31)</f>
        <v>16</v>
      </c>
      <c r="I16" s="485"/>
      <c r="J16" s="485"/>
      <c r="K16" s="485"/>
      <c r="L16" s="496">
        <v>791</v>
      </c>
      <c r="M16" s="416"/>
    </row>
    <row r="17" spans="1:13" ht="15" x14ac:dyDescent="0.25">
      <c r="A17" s="481"/>
      <c r="B17" s="481"/>
      <c r="C17" s="481"/>
      <c r="D17" s="485">
        <v>14</v>
      </c>
      <c r="E17" s="485"/>
      <c r="F17" s="485">
        <f>SUM(F46,F32)</f>
        <v>4</v>
      </c>
      <c r="G17" s="485">
        <f>SUM(G46,G32)</f>
        <v>102</v>
      </c>
      <c r="H17" s="485">
        <f>SUM(H46,H32)</f>
        <v>656</v>
      </c>
      <c r="I17" s="485">
        <f>SUM(I46,I32)</f>
        <v>71</v>
      </c>
      <c r="J17" s="485"/>
      <c r="K17" s="485"/>
      <c r="L17" s="496">
        <f>SUM(L46,L32)</f>
        <v>833</v>
      </c>
      <c r="M17" s="416"/>
    </row>
    <row r="18" spans="1:13" ht="15" x14ac:dyDescent="0.25">
      <c r="A18" s="481"/>
      <c r="B18" s="481"/>
      <c r="C18" s="481"/>
      <c r="D18" s="485">
        <v>15</v>
      </c>
      <c r="E18" s="485"/>
      <c r="F18" s="485"/>
      <c r="G18" s="485">
        <f>SUM(G47,G33)</f>
        <v>3</v>
      </c>
      <c r="H18" s="485">
        <f>SUM(H47,H33)</f>
        <v>100</v>
      </c>
      <c r="I18" s="485">
        <f>SUM(I47,I33)</f>
        <v>514</v>
      </c>
      <c r="J18" s="485">
        <f>SUM(J47,J33)</f>
        <v>93</v>
      </c>
      <c r="K18" s="485"/>
      <c r="L18" s="496">
        <f>SUM(L47,L33)</f>
        <v>710</v>
      </c>
      <c r="M18" s="416"/>
    </row>
    <row r="19" spans="1:13" ht="15" x14ac:dyDescent="0.25">
      <c r="A19" s="481"/>
      <c r="B19" s="481"/>
      <c r="C19" s="481"/>
      <c r="D19" s="485">
        <v>16</v>
      </c>
      <c r="E19" s="485"/>
      <c r="F19" s="485"/>
      <c r="G19" s="485"/>
      <c r="H19" s="485">
        <f>SUM(H48,H34)</f>
        <v>7</v>
      </c>
      <c r="I19" s="485">
        <f>SUM(I48,I34)</f>
        <v>69</v>
      </c>
      <c r="J19" s="485">
        <f>SUM(J48,J34)</f>
        <v>507</v>
      </c>
      <c r="K19" s="485">
        <f>SUM(K48,K34)</f>
        <v>18</v>
      </c>
      <c r="L19" s="496">
        <f>SUM(L48,L34)</f>
        <v>601</v>
      </c>
      <c r="M19" s="416"/>
    </row>
    <row r="20" spans="1:13" ht="15" x14ac:dyDescent="0.25">
      <c r="A20" s="481"/>
      <c r="B20" s="481"/>
      <c r="C20" s="481"/>
      <c r="D20" s="485">
        <v>17</v>
      </c>
      <c r="E20" s="485"/>
      <c r="F20" s="485"/>
      <c r="G20" s="485"/>
      <c r="H20" s="485"/>
      <c r="I20" s="485">
        <f>SUM(I49,I35)</f>
        <v>5</v>
      </c>
      <c r="J20" s="485">
        <f>SUM(J49,J35)</f>
        <v>69</v>
      </c>
      <c r="K20" s="485">
        <f>SUM(K49,K35)</f>
        <v>150</v>
      </c>
      <c r="L20" s="496">
        <f>SUM(L49,L35)</f>
        <v>224</v>
      </c>
      <c r="M20" s="416"/>
    </row>
    <row r="21" spans="1:13" ht="15" x14ac:dyDescent="0.25">
      <c r="A21" s="481"/>
      <c r="B21" s="481"/>
      <c r="C21" s="481"/>
      <c r="D21" s="485">
        <v>18</v>
      </c>
      <c r="E21" s="485"/>
      <c r="F21" s="485"/>
      <c r="G21" s="485"/>
      <c r="H21" s="485"/>
      <c r="I21" s="485"/>
      <c r="J21" s="485">
        <f>SUM(J50,J36)</f>
        <v>3</v>
      </c>
      <c r="K21" s="485">
        <f>SUM(K50,K36)</f>
        <v>32</v>
      </c>
      <c r="L21" s="496">
        <f>SUM(L50,L36)</f>
        <v>35</v>
      </c>
      <c r="M21" s="416"/>
    </row>
    <row r="22" spans="1:13" ht="15" x14ac:dyDescent="0.25">
      <c r="A22" s="481"/>
      <c r="B22" s="481"/>
      <c r="C22" s="481"/>
      <c r="D22" s="485">
        <v>19</v>
      </c>
      <c r="E22" s="485"/>
      <c r="F22" s="485"/>
      <c r="G22" s="485"/>
      <c r="H22" s="485"/>
      <c r="I22" s="485"/>
      <c r="J22" s="485"/>
      <c r="K22" s="485"/>
      <c r="L22" s="497"/>
      <c r="M22" s="416"/>
    </row>
    <row r="23" spans="1:13" ht="15" x14ac:dyDescent="0.25">
      <c r="A23" s="481"/>
      <c r="B23" s="481"/>
      <c r="C23" s="481"/>
      <c r="D23" s="485">
        <v>20</v>
      </c>
      <c r="E23" s="485"/>
      <c r="F23" s="485"/>
      <c r="G23" s="485"/>
      <c r="H23" s="485"/>
      <c r="I23" s="485"/>
      <c r="J23" s="485"/>
      <c r="K23" s="485"/>
      <c r="L23" s="497"/>
      <c r="M23" s="416"/>
    </row>
    <row r="24" spans="1:13" ht="15" x14ac:dyDescent="0.25">
      <c r="A24" s="481"/>
      <c r="B24" s="481"/>
      <c r="C24" s="481"/>
      <c r="D24" s="486" t="s">
        <v>24</v>
      </c>
      <c r="E24" s="486">
        <f>SUM(E53,E39)</f>
        <v>790</v>
      </c>
      <c r="F24" s="486">
        <f>SUM(F53,F39)</f>
        <v>778</v>
      </c>
      <c r="G24" s="486">
        <f>SUM(G53,G39)</f>
        <v>798</v>
      </c>
      <c r="H24" s="486">
        <f t="shared" ref="H24:L24" si="0">SUM(H53,H39)</f>
        <v>779</v>
      </c>
      <c r="I24" s="486">
        <f t="shared" si="0"/>
        <v>659</v>
      </c>
      <c r="J24" s="486">
        <f t="shared" si="0"/>
        <v>672</v>
      </c>
      <c r="K24" s="486">
        <f t="shared" si="0"/>
        <v>201</v>
      </c>
      <c r="L24" s="486">
        <f t="shared" si="0"/>
        <v>4677</v>
      </c>
      <c r="M24" s="416"/>
    </row>
    <row r="25" spans="1:13" ht="15" x14ac:dyDescent="0.25">
      <c r="A25" s="481"/>
      <c r="B25" s="481"/>
      <c r="C25" s="481"/>
      <c r="D25" s="487"/>
      <c r="E25" s="487"/>
      <c r="F25" s="487"/>
      <c r="G25" s="487"/>
      <c r="H25" s="487"/>
      <c r="I25" s="487"/>
      <c r="J25" s="487"/>
      <c r="K25" s="487"/>
      <c r="L25" s="487"/>
      <c r="M25" s="416"/>
    </row>
    <row r="26" spans="1:13" ht="15" x14ac:dyDescent="0.25">
      <c r="A26" s="493"/>
      <c r="B26" s="493"/>
      <c r="C26" s="493"/>
      <c r="D26" s="478" t="s">
        <v>26</v>
      </c>
      <c r="E26" s="479"/>
      <c r="F26" s="479"/>
      <c r="G26" s="479"/>
      <c r="H26" s="479"/>
      <c r="I26" s="479"/>
      <c r="J26" s="479"/>
      <c r="K26" s="479"/>
      <c r="L26" s="479"/>
      <c r="M26" s="481"/>
    </row>
    <row r="27" spans="1:13" ht="15" x14ac:dyDescent="0.25">
      <c r="A27" s="493"/>
      <c r="B27" s="493"/>
      <c r="C27" s="493"/>
      <c r="D27" s="482" t="s">
        <v>239</v>
      </c>
      <c r="E27" s="484" t="s">
        <v>240</v>
      </c>
      <c r="F27" s="484" t="s">
        <v>241</v>
      </c>
      <c r="G27" s="484" t="s">
        <v>242</v>
      </c>
      <c r="H27" s="484" t="s">
        <v>243</v>
      </c>
      <c r="I27" s="484" t="s">
        <v>244</v>
      </c>
      <c r="J27" s="484" t="s">
        <v>245</v>
      </c>
      <c r="K27" s="484" t="s">
        <v>246</v>
      </c>
      <c r="L27" s="484" t="s">
        <v>24</v>
      </c>
      <c r="M27" s="481"/>
    </row>
    <row r="28" spans="1:13" ht="15" x14ac:dyDescent="0.25">
      <c r="A28" s="477"/>
      <c r="B28" s="477"/>
      <c r="C28" s="477"/>
      <c r="D28" s="485">
        <v>10</v>
      </c>
      <c r="E28" s="485">
        <v>6</v>
      </c>
      <c r="F28" s="485"/>
      <c r="G28" s="485"/>
      <c r="H28" s="485"/>
      <c r="I28" s="485"/>
      <c r="J28" s="485"/>
      <c r="K28" s="485"/>
      <c r="L28" s="484">
        <f t="shared" ref="L28:L38" si="1">SUM(E28:K28)</f>
        <v>6</v>
      </c>
      <c r="M28" s="480"/>
    </row>
    <row r="29" spans="1:13" ht="15" x14ac:dyDescent="0.25">
      <c r="A29" s="481"/>
      <c r="B29" s="481"/>
      <c r="C29" s="481"/>
      <c r="D29" s="485">
        <v>11</v>
      </c>
      <c r="E29" s="485">
        <v>338</v>
      </c>
      <c r="F29" s="485">
        <v>17</v>
      </c>
      <c r="G29" s="485"/>
      <c r="H29" s="485"/>
      <c r="I29" s="485"/>
      <c r="J29" s="485"/>
      <c r="K29" s="485"/>
      <c r="L29" s="484">
        <f t="shared" si="1"/>
        <v>355</v>
      </c>
      <c r="M29" s="416"/>
    </row>
    <row r="30" spans="1:13" ht="15" x14ac:dyDescent="0.25">
      <c r="A30" s="481"/>
      <c r="B30" s="481"/>
      <c r="C30" s="481"/>
      <c r="D30" s="485">
        <v>12</v>
      </c>
      <c r="E30" s="485">
        <v>44</v>
      </c>
      <c r="F30" s="485">
        <v>306</v>
      </c>
      <c r="G30" s="485">
        <v>8</v>
      </c>
      <c r="H30" s="485"/>
      <c r="I30" s="485"/>
      <c r="J30" s="485"/>
      <c r="K30" s="485"/>
      <c r="L30" s="484">
        <f t="shared" si="1"/>
        <v>358</v>
      </c>
      <c r="M30" s="416"/>
    </row>
    <row r="31" spans="1:13" ht="15" x14ac:dyDescent="0.25">
      <c r="A31" s="481"/>
      <c r="B31" s="481"/>
      <c r="C31" s="481"/>
      <c r="D31" s="485">
        <v>13</v>
      </c>
      <c r="E31" s="485">
        <v>1</v>
      </c>
      <c r="F31" s="485">
        <v>35</v>
      </c>
      <c r="G31" s="485">
        <v>356</v>
      </c>
      <c r="H31" s="485">
        <v>13</v>
      </c>
      <c r="I31" s="485"/>
      <c r="J31" s="485"/>
      <c r="K31" s="485"/>
      <c r="L31" s="484">
        <f t="shared" si="1"/>
        <v>405</v>
      </c>
      <c r="M31" s="416"/>
    </row>
    <row r="32" spans="1:13" ht="15" x14ac:dyDescent="0.25">
      <c r="A32" s="481"/>
      <c r="B32" s="481"/>
      <c r="C32" s="481"/>
      <c r="D32" s="485">
        <v>14</v>
      </c>
      <c r="E32" s="485"/>
      <c r="F32" s="485">
        <v>1</v>
      </c>
      <c r="G32" s="485">
        <v>42</v>
      </c>
      <c r="H32" s="485">
        <v>330</v>
      </c>
      <c r="I32" s="485">
        <v>37</v>
      </c>
      <c r="J32" s="485"/>
      <c r="K32" s="485"/>
      <c r="L32" s="484">
        <f t="shared" si="1"/>
        <v>410</v>
      </c>
      <c r="M32" s="416"/>
    </row>
    <row r="33" spans="1:13" ht="15" x14ac:dyDescent="0.25">
      <c r="A33" s="481"/>
      <c r="B33" s="481"/>
      <c r="C33" s="481"/>
      <c r="D33" s="485">
        <v>15</v>
      </c>
      <c r="E33" s="485"/>
      <c r="F33" s="485"/>
      <c r="G33" s="485">
        <v>1</v>
      </c>
      <c r="H33" s="485">
        <v>37</v>
      </c>
      <c r="I33" s="485">
        <v>241</v>
      </c>
      <c r="J33" s="485">
        <v>48</v>
      </c>
      <c r="K33" s="485"/>
      <c r="L33" s="484">
        <f t="shared" si="1"/>
        <v>327</v>
      </c>
      <c r="M33" s="416"/>
    </row>
    <row r="34" spans="1:13" ht="15" x14ac:dyDescent="0.25">
      <c r="A34" s="481"/>
      <c r="B34" s="481"/>
      <c r="C34" s="481"/>
      <c r="D34" s="485">
        <v>16</v>
      </c>
      <c r="E34" s="485"/>
      <c r="F34" s="485"/>
      <c r="G34" s="485"/>
      <c r="H34" s="485">
        <v>2</v>
      </c>
      <c r="I34" s="485">
        <v>25</v>
      </c>
      <c r="J34" s="485">
        <v>266</v>
      </c>
      <c r="K34" s="485">
        <v>12</v>
      </c>
      <c r="L34" s="484">
        <f t="shared" si="1"/>
        <v>305</v>
      </c>
      <c r="M34" s="416"/>
    </row>
    <row r="35" spans="1:13" ht="15" x14ac:dyDescent="0.25">
      <c r="A35" s="481"/>
      <c r="B35" s="481"/>
      <c r="C35" s="481"/>
      <c r="D35" s="485">
        <v>17</v>
      </c>
      <c r="E35" s="485"/>
      <c r="F35" s="485"/>
      <c r="G35" s="485"/>
      <c r="H35" s="485"/>
      <c r="I35" s="485">
        <v>2</v>
      </c>
      <c r="J35" s="485">
        <v>30</v>
      </c>
      <c r="K35" s="485">
        <v>78</v>
      </c>
      <c r="L35" s="484">
        <f t="shared" si="1"/>
        <v>110</v>
      </c>
      <c r="M35" s="416"/>
    </row>
    <row r="36" spans="1:13" ht="15" customHeight="1" x14ac:dyDescent="0.25">
      <c r="A36" s="481"/>
      <c r="B36" s="481"/>
      <c r="C36" s="481"/>
      <c r="D36" s="485">
        <v>18</v>
      </c>
      <c r="E36" s="485"/>
      <c r="F36" s="485"/>
      <c r="G36" s="485"/>
      <c r="H36" s="485"/>
      <c r="I36" s="485"/>
      <c r="J36" s="485">
        <v>2</v>
      </c>
      <c r="K36" s="485">
        <v>13</v>
      </c>
      <c r="L36" s="484">
        <f t="shared" si="1"/>
        <v>15</v>
      </c>
      <c r="M36" s="416"/>
    </row>
    <row r="37" spans="1:13" ht="15" x14ac:dyDescent="0.25">
      <c r="A37" s="481"/>
      <c r="B37" s="481"/>
      <c r="C37" s="481"/>
      <c r="D37" s="485">
        <v>19</v>
      </c>
      <c r="E37" s="485"/>
      <c r="F37" s="485"/>
      <c r="G37" s="485"/>
      <c r="H37" s="485"/>
      <c r="I37" s="485"/>
      <c r="J37" s="485"/>
      <c r="K37" s="485">
        <v>1</v>
      </c>
      <c r="L37" s="484">
        <f t="shared" si="1"/>
        <v>1</v>
      </c>
      <c r="M37" s="416"/>
    </row>
    <row r="38" spans="1:13" ht="15" x14ac:dyDescent="0.25">
      <c r="A38" s="481"/>
      <c r="B38" s="481"/>
      <c r="C38" s="481"/>
      <c r="D38" s="485">
        <v>20</v>
      </c>
      <c r="E38" s="485"/>
      <c r="F38" s="485"/>
      <c r="G38" s="485"/>
      <c r="H38" s="485"/>
      <c r="I38" s="485"/>
      <c r="J38" s="485"/>
      <c r="K38" s="485"/>
      <c r="L38" s="484">
        <f t="shared" si="1"/>
        <v>0</v>
      </c>
      <c r="M38" s="416"/>
    </row>
    <row r="39" spans="1:13" ht="15" x14ac:dyDescent="0.25">
      <c r="A39" s="481"/>
      <c r="B39" s="481"/>
      <c r="C39" s="481"/>
      <c r="D39" s="486" t="s">
        <v>24</v>
      </c>
      <c r="E39" s="486">
        <f t="shared" ref="E39:K39" si="2">SUM(E28:E38)</f>
        <v>389</v>
      </c>
      <c r="F39" s="486">
        <f t="shared" si="2"/>
        <v>359</v>
      </c>
      <c r="G39" s="486">
        <f t="shared" si="2"/>
        <v>407</v>
      </c>
      <c r="H39" s="486">
        <f t="shared" si="2"/>
        <v>382</v>
      </c>
      <c r="I39" s="486">
        <f t="shared" si="2"/>
        <v>305</v>
      </c>
      <c r="J39" s="486">
        <f t="shared" si="2"/>
        <v>346</v>
      </c>
      <c r="K39" s="486">
        <f t="shared" si="2"/>
        <v>104</v>
      </c>
      <c r="L39" s="486">
        <f>SUM(E39:K39)</f>
        <v>2292</v>
      </c>
      <c r="M39" s="416"/>
    </row>
    <row r="40" spans="1:13" ht="15" x14ac:dyDescent="0.25">
      <c r="A40" s="481"/>
      <c r="B40" s="481"/>
      <c r="C40" s="481"/>
      <c r="D40" s="487"/>
      <c r="E40" s="487"/>
      <c r="F40" s="487"/>
      <c r="G40" s="487"/>
      <c r="H40" s="487"/>
      <c r="I40" s="487"/>
      <c r="J40" s="487"/>
      <c r="K40" s="487"/>
      <c r="L40" s="487"/>
      <c r="M40" s="416"/>
    </row>
    <row r="41" spans="1:13" ht="15" x14ac:dyDescent="0.25">
      <c r="A41" s="481"/>
      <c r="B41" s="481"/>
      <c r="C41" s="481"/>
      <c r="D41" s="478" t="s">
        <v>25</v>
      </c>
      <c r="E41" s="479"/>
      <c r="F41" s="479"/>
      <c r="G41" s="479"/>
      <c r="H41" s="479"/>
      <c r="I41" s="479"/>
      <c r="J41" s="479"/>
      <c r="K41" s="479"/>
      <c r="L41" s="479"/>
      <c r="M41" s="416"/>
    </row>
    <row r="42" spans="1:13" ht="15" x14ac:dyDescent="0.25">
      <c r="A42" s="481"/>
      <c r="B42" s="481"/>
      <c r="C42" s="481"/>
      <c r="D42" s="485">
        <v>10</v>
      </c>
      <c r="E42" s="485">
        <v>4</v>
      </c>
      <c r="F42" s="485"/>
      <c r="G42" s="485"/>
      <c r="H42" s="485"/>
      <c r="I42" s="485"/>
      <c r="J42" s="485"/>
      <c r="K42" s="485"/>
      <c r="L42" s="484">
        <f t="shared" ref="L42:L53" si="3">SUM(E42:K42)</f>
        <v>4</v>
      </c>
      <c r="M42" s="416"/>
    </row>
    <row r="43" spans="1:13" ht="15" x14ac:dyDescent="0.25">
      <c r="A43" s="481"/>
      <c r="B43" s="481"/>
      <c r="C43" s="481"/>
      <c r="D43" s="485">
        <v>11</v>
      </c>
      <c r="E43" s="485">
        <v>352</v>
      </c>
      <c r="F43" s="485">
        <v>12</v>
      </c>
      <c r="G43" s="485"/>
      <c r="H43" s="485"/>
      <c r="I43" s="485"/>
      <c r="J43" s="485"/>
      <c r="K43" s="485"/>
      <c r="L43" s="484">
        <f t="shared" si="3"/>
        <v>364</v>
      </c>
      <c r="M43" s="416"/>
    </row>
    <row r="44" spans="1:13" ht="15" x14ac:dyDescent="0.25">
      <c r="A44" s="481"/>
      <c r="B44" s="481"/>
      <c r="C44" s="481"/>
      <c r="D44" s="485">
        <v>12</v>
      </c>
      <c r="E44" s="485">
        <v>43</v>
      </c>
      <c r="F44" s="485">
        <v>355</v>
      </c>
      <c r="G44" s="485">
        <v>7</v>
      </c>
      <c r="H44" s="485"/>
      <c r="I44" s="485"/>
      <c r="J44" s="485"/>
      <c r="K44" s="485"/>
      <c r="L44" s="484">
        <f t="shared" si="3"/>
        <v>405</v>
      </c>
      <c r="M44" s="416"/>
    </row>
    <row r="45" spans="1:13" ht="15" x14ac:dyDescent="0.25">
      <c r="A45" s="481"/>
      <c r="B45" s="481"/>
      <c r="C45" s="481"/>
      <c r="D45" s="485">
        <v>13</v>
      </c>
      <c r="E45" s="485">
        <v>2</v>
      </c>
      <c r="F45" s="485">
        <v>49</v>
      </c>
      <c r="G45" s="485">
        <v>322</v>
      </c>
      <c r="H45" s="485">
        <v>3</v>
      </c>
      <c r="I45" s="485"/>
      <c r="J45" s="485"/>
      <c r="K45" s="485"/>
      <c r="L45" s="484">
        <f t="shared" si="3"/>
        <v>376</v>
      </c>
      <c r="M45" s="416"/>
    </row>
    <row r="46" spans="1:13" ht="15" x14ac:dyDescent="0.25">
      <c r="A46" s="481"/>
      <c r="B46" s="481"/>
      <c r="C46" s="481"/>
      <c r="D46" s="485">
        <v>14</v>
      </c>
      <c r="E46" s="485"/>
      <c r="F46" s="485">
        <v>3</v>
      </c>
      <c r="G46" s="485">
        <v>60</v>
      </c>
      <c r="H46" s="485">
        <v>326</v>
      </c>
      <c r="I46" s="485">
        <v>34</v>
      </c>
      <c r="J46" s="485"/>
      <c r="K46" s="485"/>
      <c r="L46" s="484">
        <f t="shared" si="3"/>
        <v>423</v>
      </c>
      <c r="M46" s="416"/>
    </row>
    <row r="47" spans="1:13" ht="15" x14ac:dyDescent="0.25">
      <c r="A47" s="481"/>
      <c r="B47" s="481"/>
      <c r="C47" s="481"/>
      <c r="D47" s="485">
        <v>15</v>
      </c>
      <c r="E47" s="485"/>
      <c r="F47" s="485"/>
      <c r="G47" s="485">
        <v>2</v>
      </c>
      <c r="H47" s="485">
        <v>63</v>
      </c>
      <c r="I47" s="485">
        <v>273</v>
      </c>
      <c r="J47" s="485">
        <v>45</v>
      </c>
      <c r="K47" s="485"/>
      <c r="L47" s="484">
        <f t="shared" si="3"/>
        <v>383</v>
      </c>
      <c r="M47" s="492"/>
    </row>
    <row r="48" spans="1:13" ht="15" x14ac:dyDescent="0.25">
      <c r="A48" s="481"/>
      <c r="B48" s="481"/>
      <c r="C48" s="481"/>
      <c r="D48" s="485">
        <v>16</v>
      </c>
      <c r="E48" s="485"/>
      <c r="F48" s="485"/>
      <c r="G48" s="485"/>
      <c r="H48" s="485">
        <v>5</v>
      </c>
      <c r="I48" s="485">
        <v>44</v>
      </c>
      <c r="J48" s="485">
        <v>241</v>
      </c>
      <c r="K48" s="485">
        <v>6</v>
      </c>
      <c r="L48" s="484">
        <f t="shared" si="3"/>
        <v>296</v>
      </c>
      <c r="M48" s="492"/>
    </row>
    <row r="49" spans="1:13" ht="15" x14ac:dyDescent="0.25">
      <c r="A49" s="481"/>
      <c r="B49" s="481"/>
      <c r="C49" s="481"/>
      <c r="D49" s="485">
        <v>17</v>
      </c>
      <c r="E49" s="485"/>
      <c r="F49" s="485"/>
      <c r="G49" s="485"/>
      <c r="H49" s="485"/>
      <c r="I49" s="485">
        <v>3</v>
      </c>
      <c r="J49" s="485">
        <v>39</v>
      </c>
      <c r="K49" s="485">
        <v>72</v>
      </c>
      <c r="L49" s="484">
        <f t="shared" si="3"/>
        <v>114</v>
      </c>
      <c r="M49" s="481"/>
    </row>
    <row r="50" spans="1:13" ht="15" customHeight="1" x14ac:dyDescent="0.25">
      <c r="A50" s="493"/>
      <c r="B50" s="493"/>
      <c r="C50" s="493"/>
      <c r="D50" s="485">
        <v>18</v>
      </c>
      <c r="E50" s="485"/>
      <c r="F50" s="485"/>
      <c r="G50" s="485"/>
      <c r="H50" s="485"/>
      <c r="I50" s="485"/>
      <c r="J50" s="485">
        <v>1</v>
      </c>
      <c r="K50" s="485">
        <v>19</v>
      </c>
      <c r="L50" s="484">
        <f t="shared" si="3"/>
        <v>20</v>
      </c>
      <c r="M50" s="481"/>
    </row>
    <row r="51" spans="1:13" ht="15" x14ac:dyDescent="0.25">
      <c r="A51" s="493"/>
      <c r="B51" s="493"/>
      <c r="C51" s="493"/>
      <c r="D51" s="485">
        <v>19</v>
      </c>
      <c r="E51" s="485"/>
      <c r="F51" s="485"/>
      <c r="G51" s="485"/>
      <c r="H51" s="485"/>
      <c r="I51" s="485"/>
      <c r="J51" s="485"/>
      <c r="K51" s="485"/>
      <c r="L51" s="484">
        <f t="shared" si="3"/>
        <v>0</v>
      </c>
      <c r="M51" s="481"/>
    </row>
    <row r="52" spans="1:13" ht="15" x14ac:dyDescent="0.25">
      <c r="A52" s="493"/>
      <c r="B52" s="493"/>
      <c r="C52" s="493"/>
      <c r="D52" s="485">
        <v>20</v>
      </c>
      <c r="E52" s="485"/>
      <c r="F52" s="485"/>
      <c r="G52" s="485"/>
      <c r="H52" s="485"/>
      <c r="I52" s="485"/>
      <c r="J52" s="485"/>
      <c r="K52" s="485"/>
      <c r="L52" s="484">
        <f t="shared" si="3"/>
        <v>0</v>
      </c>
      <c r="M52" s="481"/>
    </row>
    <row r="53" spans="1:13" ht="15" x14ac:dyDescent="0.25">
      <c r="A53" s="481"/>
      <c r="B53" s="481"/>
      <c r="C53" s="481"/>
      <c r="D53" s="439" t="s">
        <v>24</v>
      </c>
      <c r="E53" s="439">
        <f t="shared" ref="E53:J53" si="4">SUM(E42:E52)</f>
        <v>401</v>
      </c>
      <c r="F53" s="439">
        <f t="shared" si="4"/>
        <v>419</v>
      </c>
      <c r="G53" s="439">
        <f t="shared" si="4"/>
        <v>391</v>
      </c>
      <c r="H53" s="439">
        <f t="shared" si="4"/>
        <v>397</v>
      </c>
      <c r="I53" s="439">
        <f t="shared" si="4"/>
        <v>354</v>
      </c>
      <c r="J53" s="439">
        <f t="shared" si="4"/>
        <v>326</v>
      </c>
      <c r="K53" s="439">
        <f>SUM(K42:K52)</f>
        <v>97</v>
      </c>
      <c r="L53" s="486">
        <f t="shared" si="3"/>
        <v>2385</v>
      </c>
      <c r="M53" s="492"/>
    </row>
    <row r="54" spans="1:13" ht="14.25" x14ac:dyDescent="0.2">
      <c r="A54" s="481"/>
      <c r="B54" s="481"/>
      <c r="C54" s="481"/>
      <c r="D54" s="416"/>
      <c r="E54" s="416"/>
      <c r="F54" s="416"/>
      <c r="G54" s="492"/>
      <c r="H54" s="416"/>
      <c r="I54" s="416"/>
      <c r="J54" s="492"/>
      <c r="K54" s="492"/>
      <c r="L54" s="416"/>
      <c r="M54" s="492"/>
    </row>
    <row r="55" spans="1:13" ht="14.25" x14ac:dyDescent="0.2">
      <c r="A55" s="399"/>
      <c r="B55" s="399"/>
      <c r="C55" s="399"/>
      <c r="D55" s="369" t="s">
        <v>279</v>
      </c>
      <c r="E55" s="442"/>
      <c r="F55" s="399"/>
      <c r="G55" s="399"/>
      <c r="H55" s="399"/>
      <c r="I55" s="399"/>
      <c r="J55" s="399"/>
      <c r="K55" s="399"/>
      <c r="L55" s="399"/>
      <c r="M55" s="443"/>
    </row>
    <row r="56" spans="1:13" ht="14.25" x14ac:dyDescent="0.2">
      <c r="A56" s="431"/>
      <c r="B56" s="431"/>
      <c r="C56" s="431"/>
      <c r="D56" s="431"/>
      <c r="E56" s="399"/>
      <c r="F56" s="399"/>
      <c r="G56" s="399"/>
      <c r="H56" s="399"/>
      <c r="I56" s="399"/>
      <c r="J56" s="399"/>
      <c r="K56" s="399"/>
      <c r="L56" s="399"/>
      <c r="M56" s="431"/>
    </row>
    <row r="57" spans="1:13" ht="14.25" x14ac:dyDescent="0.2">
      <c r="A57" s="431"/>
      <c r="B57" s="431"/>
      <c r="C57" s="431"/>
      <c r="D57" s="431"/>
      <c r="E57" s="399"/>
      <c r="F57" s="399"/>
      <c r="G57" s="399"/>
      <c r="H57" s="399"/>
      <c r="I57" s="399"/>
      <c r="J57" s="399"/>
      <c r="K57" s="399"/>
      <c r="L57" s="399"/>
      <c r="M57" s="431"/>
    </row>
    <row r="58" spans="1:13" x14ac:dyDescent="0.2">
      <c r="A58" s="351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</row>
  </sheetData>
  <mergeCells count="3">
    <mergeCell ref="A7:M7"/>
    <mergeCell ref="I3:L3"/>
    <mergeCell ref="D9:L9"/>
  </mergeCells>
  <pageMargins left="0.7" right="0.7" top="0.75" bottom="0.75" header="0.3" footer="0.3"/>
  <pageSetup scale="77" orientation="portrait" verticalDpi="0" r:id="rId1"/>
  <ignoredErrors>
    <ignoredError sqref="L28:L38 L42:L52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4403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57150</xdr:rowOff>
              </from>
              <to>
                <xdr:col>1</xdr:col>
                <xdr:colOff>552450</xdr:colOff>
                <xdr:row>3</xdr:row>
                <xdr:rowOff>28575</xdr:rowOff>
              </to>
            </anchor>
          </objectPr>
        </oleObject>
      </mc:Choice>
      <mc:Fallback>
        <oleObject progId="MSPhotoEd.3" shapeId="4403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theme="7" tint="0.59999389629810485"/>
    <pageSetUpPr fitToPage="1"/>
  </sheetPr>
  <dimension ref="A2:K77"/>
  <sheetViews>
    <sheetView zoomScale="78" zoomScaleNormal="78" zoomScaleSheetLayoutView="93" workbookViewId="0">
      <selection activeCell="M4" sqref="M4"/>
    </sheetView>
  </sheetViews>
  <sheetFormatPr defaultRowHeight="14.25" x14ac:dyDescent="0.2"/>
  <cols>
    <col min="1" max="1" width="6.140625" style="325" customWidth="1"/>
    <col min="2" max="2" width="8.28515625" style="325" customWidth="1"/>
    <col min="3" max="3" width="61" style="325" customWidth="1"/>
    <col min="4" max="6" width="9.140625" style="325"/>
    <col min="7" max="7" width="9.42578125" style="325" bestFit="1" customWidth="1"/>
    <col min="8" max="16384" width="9.140625" style="325"/>
  </cols>
  <sheetData>
    <row r="2" spans="1:11" ht="20.25" customHeight="1" x14ac:dyDescent="0.2">
      <c r="G2" s="586" t="s">
        <v>349</v>
      </c>
      <c r="H2" s="586"/>
      <c r="I2" s="586"/>
      <c r="J2" s="586"/>
    </row>
    <row r="5" spans="1:11" ht="16.5" customHeight="1" x14ac:dyDescent="0.2"/>
    <row r="7" spans="1:11" ht="15" x14ac:dyDescent="0.25">
      <c r="B7" s="498"/>
      <c r="C7" s="595" t="s">
        <v>366</v>
      </c>
      <c r="D7" s="595"/>
      <c r="E7" s="595"/>
      <c r="F7" s="595"/>
      <c r="G7" s="595"/>
      <c r="H7" s="595"/>
      <c r="I7" s="595"/>
      <c r="J7" s="595"/>
      <c r="K7" s="595"/>
    </row>
    <row r="8" spans="1:11" ht="15" x14ac:dyDescent="0.25">
      <c r="A8" s="498"/>
      <c r="B8" s="498"/>
      <c r="C8" s="498"/>
    </row>
    <row r="9" spans="1:11" ht="12.75" customHeight="1" x14ac:dyDescent="0.2"/>
    <row r="10" spans="1:11" ht="15" x14ac:dyDescent="0.25">
      <c r="B10" s="328">
        <v>3.03</v>
      </c>
      <c r="C10" s="595" t="s">
        <v>367</v>
      </c>
      <c r="D10" s="595"/>
      <c r="E10" s="595"/>
      <c r="F10" s="595"/>
      <c r="G10" s="595"/>
      <c r="H10" s="595"/>
      <c r="I10" s="595"/>
      <c r="J10" s="595"/>
      <c r="K10" s="595"/>
    </row>
    <row r="12" spans="1:11" x14ac:dyDescent="0.2">
      <c r="D12" s="600"/>
      <c r="E12" s="600"/>
      <c r="F12" s="600"/>
      <c r="G12" s="600"/>
      <c r="H12" s="600"/>
      <c r="I12" s="600"/>
      <c r="J12" s="600"/>
    </row>
    <row r="13" spans="1:11" ht="15" x14ac:dyDescent="0.25">
      <c r="C13" s="499"/>
      <c r="D13" s="329">
        <v>2016</v>
      </c>
      <c r="E13" s="329">
        <v>2017</v>
      </c>
      <c r="F13" s="329">
        <v>2018</v>
      </c>
      <c r="G13" s="329">
        <v>2019</v>
      </c>
      <c r="H13" s="329">
        <v>2020</v>
      </c>
      <c r="I13" s="329">
        <v>2021</v>
      </c>
      <c r="J13" s="329">
        <v>2022</v>
      </c>
      <c r="K13" s="329">
        <v>2023</v>
      </c>
    </row>
    <row r="15" spans="1:11" ht="15" x14ac:dyDescent="0.25">
      <c r="C15" s="331" t="s">
        <v>309</v>
      </c>
    </row>
    <row r="16" spans="1:11" ht="15" x14ac:dyDescent="0.25">
      <c r="C16" s="331" t="s">
        <v>1</v>
      </c>
    </row>
    <row r="17" spans="3:11" x14ac:dyDescent="0.2">
      <c r="C17" s="325" t="s">
        <v>10</v>
      </c>
      <c r="D17" s="500">
        <v>2418</v>
      </c>
      <c r="E17" s="500">
        <v>2375</v>
      </c>
      <c r="F17" s="500">
        <v>2396</v>
      </c>
      <c r="G17" s="500">
        <v>2352</v>
      </c>
      <c r="H17" s="500">
        <v>2306</v>
      </c>
      <c r="I17" s="500">
        <v>2248</v>
      </c>
      <c r="J17" s="500">
        <v>2291</v>
      </c>
      <c r="K17" s="325">
        <v>2289</v>
      </c>
    </row>
    <row r="18" spans="3:11" x14ac:dyDescent="0.2">
      <c r="C18" s="325" t="s">
        <v>292</v>
      </c>
      <c r="D18" s="500">
        <v>174</v>
      </c>
      <c r="E18" s="500">
        <v>177</v>
      </c>
      <c r="F18" s="501">
        <v>191</v>
      </c>
      <c r="G18" s="502">
        <v>192</v>
      </c>
      <c r="H18" s="500">
        <v>195</v>
      </c>
      <c r="I18" s="500">
        <v>191</v>
      </c>
      <c r="J18" s="500">
        <v>203</v>
      </c>
      <c r="K18" s="325">
        <v>210</v>
      </c>
    </row>
    <row r="19" spans="3:11" x14ac:dyDescent="0.2">
      <c r="C19" s="325" t="s">
        <v>298</v>
      </c>
      <c r="D19" s="500">
        <f t="shared" ref="D19:K19" si="0">D17/D18</f>
        <v>13.896551724137931</v>
      </c>
      <c r="E19" s="500">
        <f t="shared" si="0"/>
        <v>13.418079096045197</v>
      </c>
      <c r="F19" s="500">
        <f t="shared" si="0"/>
        <v>12.544502617801047</v>
      </c>
      <c r="G19" s="500">
        <f t="shared" si="0"/>
        <v>12.25</v>
      </c>
      <c r="H19" s="500">
        <f t="shared" si="0"/>
        <v>11.825641025641026</v>
      </c>
      <c r="I19" s="500">
        <f t="shared" si="0"/>
        <v>11.769633507853403</v>
      </c>
      <c r="J19" s="500">
        <f t="shared" si="0"/>
        <v>11.285714285714286</v>
      </c>
      <c r="K19" s="500">
        <f t="shared" si="0"/>
        <v>10.9</v>
      </c>
    </row>
    <row r="20" spans="3:11" ht="16.5" x14ac:dyDescent="0.2">
      <c r="C20" s="325" t="s">
        <v>343</v>
      </c>
      <c r="D20" s="503">
        <v>176.8</v>
      </c>
      <c r="E20" s="503">
        <v>185.7</v>
      </c>
      <c r="F20" s="501">
        <v>165.7</v>
      </c>
      <c r="G20" s="502">
        <v>162.69999999999999</v>
      </c>
      <c r="H20" s="503">
        <v>148.36666666666699</v>
      </c>
      <c r="I20" s="502">
        <v>168.3</v>
      </c>
      <c r="J20" s="503">
        <v>173</v>
      </c>
      <c r="K20" s="503">
        <v>165.9</v>
      </c>
    </row>
    <row r="21" spans="3:11" x14ac:dyDescent="0.2">
      <c r="C21" s="325" t="s">
        <v>295</v>
      </c>
      <c r="D21" s="503">
        <v>14.627754615842763</v>
      </c>
      <c r="E21" s="503">
        <f t="shared" ref="E21:K21" si="1">D17/D20</f>
        <v>13.676470588235293</v>
      </c>
      <c r="F21" s="503">
        <f t="shared" si="1"/>
        <v>12.789445341949381</v>
      </c>
      <c r="G21" s="503">
        <f t="shared" si="1"/>
        <v>14.459867229933616</v>
      </c>
      <c r="H21" s="503">
        <f t="shared" si="1"/>
        <v>14.456054087277199</v>
      </c>
      <c r="I21" s="503">
        <f t="shared" si="1"/>
        <v>15.542574702314052</v>
      </c>
      <c r="J21" s="503">
        <f t="shared" si="1"/>
        <v>13.357100415923945</v>
      </c>
      <c r="K21" s="503">
        <f t="shared" si="1"/>
        <v>13.242774566473988</v>
      </c>
    </row>
    <row r="22" spans="3:11" x14ac:dyDescent="0.2">
      <c r="D22" s="502"/>
      <c r="E22" s="502"/>
      <c r="F22" s="502"/>
    </row>
    <row r="23" spans="3:11" ht="15" x14ac:dyDescent="0.25">
      <c r="C23" s="331" t="s">
        <v>2</v>
      </c>
    </row>
    <row r="24" spans="3:11" x14ac:dyDescent="0.2">
      <c r="C24" s="325" t="s">
        <v>10</v>
      </c>
      <c r="D24" s="500">
        <v>2281</v>
      </c>
      <c r="E24" s="500">
        <v>2181</v>
      </c>
      <c r="F24" s="500">
        <v>2227</v>
      </c>
      <c r="G24" s="500">
        <v>2284</v>
      </c>
      <c r="H24" s="500">
        <v>2373</v>
      </c>
      <c r="I24" s="500">
        <v>2509</v>
      </c>
      <c r="J24" s="500">
        <v>2603</v>
      </c>
      <c r="K24" s="325">
        <v>2693</v>
      </c>
    </row>
    <row r="25" spans="3:11" x14ac:dyDescent="0.2">
      <c r="C25" s="325" t="s">
        <v>292</v>
      </c>
      <c r="D25" s="500">
        <v>280</v>
      </c>
      <c r="E25" s="500">
        <v>242</v>
      </c>
      <c r="F25" s="500">
        <v>229</v>
      </c>
      <c r="G25" s="500">
        <v>234</v>
      </c>
      <c r="H25" s="500">
        <v>237</v>
      </c>
      <c r="I25" s="500">
        <v>242</v>
      </c>
      <c r="J25" s="500">
        <v>244</v>
      </c>
      <c r="K25" s="325">
        <v>246</v>
      </c>
    </row>
    <row r="26" spans="3:11" x14ac:dyDescent="0.2">
      <c r="C26" s="325" t="s">
        <v>294</v>
      </c>
      <c r="D26" s="500">
        <f t="shared" ref="D26:K26" si="2">D24/D25</f>
        <v>8.1464285714285722</v>
      </c>
      <c r="E26" s="500">
        <f t="shared" si="2"/>
        <v>9.0123966942148765</v>
      </c>
      <c r="F26" s="500">
        <f t="shared" si="2"/>
        <v>9.7248908296943224</v>
      </c>
      <c r="G26" s="500">
        <f t="shared" si="2"/>
        <v>9.7606837606837615</v>
      </c>
      <c r="H26" s="500">
        <f t="shared" si="2"/>
        <v>10.012658227848101</v>
      </c>
      <c r="I26" s="500">
        <f t="shared" si="2"/>
        <v>10.367768595041323</v>
      </c>
      <c r="J26" s="500">
        <f t="shared" si="2"/>
        <v>10.668032786885245</v>
      </c>
      <c r="K26" s="500">
        <f t="shared" si="2"/>
        <v>10.947154471544716</v>
      </c>
    </row>
    <row r="27" spans="3:11" x14ac:dyDescent="0.2">
      <c r="C27" s="325" t="s">
        <v>293</v>
      </c>
      <c r="D27" s="503">
        <v>194</v>
      </c>
      <c r="E27" s="503">
        <v>195.6</v>
      </c>
      <c r="F27" s="503">
        <v>197.7</v>
      </c>
      <c r="G27" s="503">
        <v>191.6</v>
      </c>
      <c r="H27" s="503">
        <v>190.96666666666701</v>
      </c>
      <c r="I27" s="503">
        <v>186.6</v>
      </c>
      <c r="J27" s="503">
        <v>193.5</v>
      </c>
      <c r="K27" s="325">
        <v>193.3</v>
      </c>
    </row>
    <row r="28" spans="3:11" x14ac:dyDescent="0.2">
      <c r="C28" s="325" t="s">
        <v>295</v>
      </c>
      <c r="D28" s="503">
        <f t="shared" ref="D28:K28" si="3">D24/D27</f>
        <v>11.757731958762887</v>
      </c>
      <c r="E28" s="503">
        <f t="shared" si="3"/>
        <v>11.150306748466258</v>
      </c>
      <c r="F28" s="503">
        <f t="shared" si="3"/>
        <v>11.264542235710673</v>
      </c>
      <c r="G28" s="503">
        <f t="shared" si="3"/>
        <v>11.920668058455115</v>
      </c>
      <c r="H28" s="503">
        <f t="shared" si="3"/>
        <v>12.426252400069798</v>
      </c>
      <c r="I28" s="503">
        <f t="shared" si="3"/>
        <v>13.445873526259378</v>
      </c>
      <c r="J28" s="503">
        <f t="shared" si="3"/>
        <v>13.452196382428941</v>
      </c>
      <c r="K28" s="503">
        <f t="shared" si="3"/>
        <v>13.931712364200724</v>
      </c>
    </row>
    <row r="30" spans="3:11" ht="15" x14ac:dyDescent="0.25">
      <c r="C30" s="331" t="s">
        <v>12</v>
      </c>
    </row>
    <row r="31" spans="3:11" x14ac:dyDescent="0.2">
      <c r="C31" s="325" t="s">
        <v>13</v>
      </c>
    </row>
    <row r="32" spans="3:11" x14ac:dyDescent="0.2">
      <c r="C32" s="325" t="s">
        <v>10</v>
      </c>
      <c r="D32" s="500">
        <v>3379</v>
      </c>
      <c r="E32" s="500">
        <v>3321</v>
      </c>
      <c r="F32" s="500">
        <v>3618</v>
      </c>
      <c r="G32" s="500">
        <v>3409</v>
      </c>
      <c r="H32" s="500">
        <v>3755</v>
      </c>
      <c r="I32" s="500">
        <v>4061</v>
      </c>
      <c r="J32" s="500">
        <v>4030</v>
      </c>
      <c r="K32" s="325">
        <v>4072</v>
      </c>
    </row>
    <row r="33" spans="3:11" x14ac:dyDescent="0.2">
      <c r="C33" s="325" t="s">
        <v>292</v>
      </c>
      <c r="D33" s="500">
        <v>334</v>
      </c>
      <c r="E33" s="500">
        <v>339</v>
      </c>
      <c r="F33" s="501">
        <v>330</v>
      </c>
      <c r="G33" s="500">
        <v>340</v>
      </c>
      <c r="H33" s="500">
        <v>340</v>
      </c>
      <c r="I33" s="500">
        <v>405</v>
      </c>
      <c r="J33" s="500">
        <v>426</v>
      </c>
      <c r="K33" s="325">
        <v>419</v>
      </c>
    </row>
    <row r="34" spans="3:11" x14ac:dyDescent="0.2">
      <c r="C34" s="325" t="s">
        <v>294</v>
      </c>
      <c r="D34" s="500">
        <f t="shared" ref="D34:K34" si="4">D32/D33</f>
        <v>10.116766467065869</v>
      </c>
      <c r="E34" s="500">
        <f t="shared" si="4"/>
        <v>9.7964601769911503</v>
      </c>
      <c r="F34" s="500">
        <f t="shared" si="4"/>
        <v>10.963636363636363</v>
      </c>
      <c r="G34" s="500">
        <f t="shared" si="4"/>
        <v>10.026470588235295</v>
      </c>
      <c r="H34" s="500">
        <f t="shared" si="4"/>
        <v>11.044117647058824</v>
      </c>
      <c r="I34" s="500">
        <f t="shared" si="4"/>
        <v>10.027160493827161</v>
      </c>
      <c r="J34" s="500">
        <f t="shared" si="4"/>
        <v>9.4600938967136159</v>
      </c>
      <c r="K34" s="500">
        <f t="shared" si="4"/>
        <v>9.7183770883054894</v>
      </c>
    </row>
    <row r="35" spans="3:11" x14ac:dyDescent="0.2">
      <c r="C35" s="325" t="s">
        <v>293</v>
      </c>
      <c r="D35" s="503">
        <v>286.8</v>
      </c>
      <c r="E35" s="500">
        <v>407.74</v>
      </c>
      <c r="F35" s="503">
        <v>287</v>
      </c>
      <c r="G35" s="503">
        <v>284</v>
      </c>
      <c r="H35" s="500">
        <v>202.506666666667</v>
      </c>
      <c r="I35" s="503">
        <v>361.7</v>
      </c>
      <c r="J35" s="503">
        <v>373.7</v>
      </c>
      <c r="K35" s="500">
        <v>362</v>
      </c>
    </row>
    <row r="36" spans="3:11" x14ac:dyDescent="0.2">
      <c r="C36" s="325" t="s">
        <v>295</v>
      </c>
      <c r="D36" s="503">
        <f t="shared" ref="D36:K36" si="5">D32/D35</f>
        <v>11.781729428172943</v>
      </c>
      <c r="E36" s="503">
        <f t="shared" si="5"/>
        <v>8.1448962574189441</v>
      </c>
      <c r="F36" s="503">
        <f t="shared" si="5"/>
        <v>12.606271777003485</v>
      </c>
      <c r="G36" s="503">
        <f t="shared" si="5"/>
        <v>12.003521126760564</v>
      </c>
      <c r="H36" s="503">
        <f t="shared" si="5"/>
        <v>18.542599420595177</v>
      </c>
      <c r="I36" s="503">
        <f t="shared" si="5"/>
        <v>11.227536632568427</v>
      </c>
      <c r="J36" s="503">
        <f t="shared" si="5"/>
        <v>10.784051378110785</v>
      </c>
      <c r="K36" s="503">
        <f t="shared" si="5"/>
        <v>11.248618784530386</v>
      </c>
    </row>
    <row r="37" spans="3:11" x14ac:dyDescent="0.2">
      <c r="D37" s="503"/>
      <c r="E37" s="503"/>
      <c r="F37" s="503"/>
      <c r="G37" s="503"/>
      <c r="H37" s="503"/>
      <c r="I37" s="503"/>
    </row>
    <row r="38" spans="3:11" ht="15" hidden="1" x14ac:dyDescent="0.25">
      <c r="C38" s="331" t="s">
        <v>315</v>
      </c>
    </row>
    <row r="39" spans="3:11" hidden="1" x14ac:dyDescent="0.2">
      <c r="C39" s="325" t="s">
        <v>13</v>
      </c>
    </row>
    <row r="40" spans="3:11" hidden="1" x14ac:dyDescent="0.2">
      <c r="C40" s="325" t="s">
        <v>10</v>
      </c>
      <c r="D40" s="500"/>
      <c r="E40" s="500"/>
      <c r="F40" s="500"/>
      <c r="G40" s="500"/>
      <c r="H40" s="500"/>
      <c r="I40" s="500">
        <v>118</v>
      </c>
    </row>
    <row r="41" spans="3:11" hidden="1" x14ac:dyDescent="0.2">
      <c r="C41" s="325" t="s">
        <v>292</v>
      </c>
      <c r="D41" s="500"/>
      <c r="E41" s="500"/>
      <c r="F41" s="501"/>
      <c r="G41" s="500"/>
      <c r="H41" s="500"/>
      <c r="I41" s="500" t="s">
        <v>316</v>
      </c>
    </row>
    <row r="42" spans="3:11" hidden="1" x14ac:dyDescent="0.2">
      <c r="C42" s="325" t="s">
        <v>294</v>
      </c>
      <c r="D42" s="500"/>
      <c r="E42" s="500"/>
      <c r="F42" s="500"/>
      <c r="G42" s="500"/>
      <c r="H42" s="500"/>
      <c r="I42" s="500" t="s">
        <v>316</v>
      </c>
    </row>
    <row r="43" spans="3:11" hidden="1" x14ac:dyDescent="0.2">
      <c r="C43" s="325" t="s">
        <v>293</v>
      </c>
      <c r="D43" s="503"/>
      <c r="E43" s="500"/>
      <c r="F43" s="503"/>
      <c r="G43" s="503"/>
      <c r="H43" s="500"/>
      <c r="I43" s="503" t="s">
        <v>316</v>
      </c>
    </row>
    <row r="44" spans="3:11" hidden="1" x14ac:dyDescent="0.2">
      <c r="C44" s="325" t="s">
        <v>295</v>
      </c>
      <c r="D44" s="503"/>
      <c r="E44" s="503"/>
      <c r="F44" s="503"/>
      <c r="G44" s="503"/>
      <c r="H44" s="503"/>
      <c r="I44" s="503" t="s">
        <v>316</v>
      </c>
    </row>
    <row r="45" spans="3:11" hidden="1" x14ac:dyDescent="0.2"/>
    <row r="46" spans="3:11" ht="15" x14ac:dyDescent="0.25">
      <c r="C46" s="504" t="s">
        <v>308</v>
      </c>
    </row>
    <row r="47" spans="3:11" x14ac:dyDescent="0.2">
      <c r="C47" s="325" t="s">
        <v>13</v>
      </c>
      <c r="G47" s="501"/>
    </row>
    <row r="48" spans="3:11" x14ac:dyDescent="0.2">
      <c r="C48" s="325" t="s">
        <v>10</v>
      </c>
      <c r="D48" s="500">
        <f>SUM(D17,D24,D32)</f>
        <v>8078</v>
      </c>
      <c r="E48" s="500">
        <f>SUM(E17,E24,E32)</f>
        <v>7877</v>
      </c>
      <c r="F48" s="500">
        <f>SUM(F17,F24,F32)</f>
        <v>8241</v>
      </c>
      <c r="G48" s="501">
        <f>SUM(G17,G24,G32)</f>
        <v>8045</v>
      </c>
      <c r="H48" s="500">
        <f>SUM(H17,H24,H32)</f>
        <v>8434</v>
      </c>
      <c r="I48" s="500">
        <f>SUM(I17,I24,I32,I40)</f>
        <v>8936</v>
      </c>
      <c r="J48" s="501">
        <f>SUM(J17,J24,J32)</f>
        <v>8924</v>
      </c>
      <c r="K48" s="501">
        <f>SUM(K17,K24,K32)</f>
        <v>9054</v>
      </c>
    </row>
    <row r="49" spans="1:11" x14ac:dyDescent="0.2">
      <c r="C49" s="325" t="s">
        <v>292</v>
      </c>
      <c r="D49" s="500">
        <f>SUM(D18+D25+D33)</f>
        <v>788</v>
      </c>
      <c r="E49" s="500">
        <v>731</v>
      </c>
      <c r="F49" s="500">
        <f>SUM(F18+F25+F33)</f>
        <v>750</v>
      </c>
      <c r="G49" s="500">
        <f>SUM(G18+G25+G33)</f>
        <v>766</v>
      </c>
      <c r="H49" s="500">
        <v>731</v>
      </c>
      <c r="I49" s="501">
        <f>SUM(I18,I25,I33)</f>
        <v>838</v>
      </c>
      <c r="J49" s="500">
        <f>SUM(J18+J25+J33)</f>
        <v>873</v>
      </c>
      <c r="K49" s="500">
        <f>SUM(K18,K25,K33)</f>
        <v>875</v>
      </c>
    </row>
    <row r="50" spans="1:11" x14ac:dyDescent="0.2">
      <c r="C50" s="325" t="s">
        <v>294</v>
      </c>
      <c r="D50" s="500">
        <f>D48/D49</f>
        <v>10.251269035532994</v>
      </c>
      <c r="E50" s="500">
        <v>10.585499316005471</v>
      </c>
      <c r="F50" s="500">
        <f>F48/F49</f>
        <v>10.988</v>
      </c>
      <c r="G50" s="500">
        <f>G48/G49</f>
        <v>10.502610966057441</v>
      </c>
      <c r="H50" s="500">
        <v>10.585499316005471</v>
      </c>
      <c r="I50" s="500">
        <f>I48/I49</f>
        <v>10.663484486873509</v>
      </c>
      <c r="J50" s="500">
        <f>J48/J49</f>
        <v>10.222222222222221</v>
      </c>
      <c r="K50" s="500">
        <v>11.5854993160055</v>
      </c>
    </row>
    <row r="51" spans="1:11" x14ac:dyDescent="0.2">
      <c r="C51" s="325" t="s">
        <v>293</v>
      </c>
      <c r="D51" s="500">
        <f t="shared" ref="D51:I51" si="6">SUM(D20,D27,D35)</f>
        <v>657.6</v>
      </c>
      <c r="E51" s="500">
        <f t="shared" si="6"/>
        <v>789.04</v>
      </c>
      <c r="F51" s="500">
        <f t="shared" si="6"/>
        <v>650.4</v>
      </c>
      <c r="G51" s="500">
        <f t="shared" si="6"/>
        <v>638.29999999999995</v>
      </c>
      <c r="H51" s="500">
        <f t="shared" si="6"/>
        <v>541.84000000000106</v>
      </c>
      <c r="I51" s="501">
        <f t="shared" si="6"/>
        <v>716.59999999999991</v>
      </c>
      <c r="J51" s="500">
        <f>SUM(J20,J27,J35)</f>
        <v>740.2</v>
      </c>
      <c r="K51" s="500">
        <f>SUM(K20,K27,K35)</f>
        <v>721.2</v>
      </c>
    </row>
    <row r="52" spans="1:11" x14ac:dyDescent="0.2">
      <c r="C52" s="325" t="s">
        <v>295</v>
      </c>
      <c r="D52" s="503">
        <f t="shared" ref="D52:K52" si="7">D48/D51</f>
        <v>12.284063260340632</v>
      </c>
      <c r="E52" s="503">
        <f t="shared" si="7"/>
        <v>9.98301733752408</v>
      </c>
      <c r="F52" s="503">
        <f t="shared" si="7"/>
        <v>12.670664206642067</v>
      </c>
      <c r="G52" s="503">
        <f t="shared" si="7"/>
        <v>12.603791320695599</v>
      </c>
      <c r="H52" s="503">
        <f t="shared" si="7"/>
        <v>15.565480584674413</v>
      </c>
      <c r="I52" s="503">
        <f t="shared" si="7"/>
        <v>12.469997209042702</v>
      </c>
      <c r="J52" s="503">
        <f t="shared" si="7"/>
        <v>12.056201026749527</v>
      </c>
      <c r="K52" s="503">
        <f t="shared" si="7"/>
        <v>12.554076539101496</v>
      </c>
    </row>
    <row r="53" spans="1:11" ht="15" x14ac:dyDescent="0.25">
      <c r="C53" s="331"/>
    </row>
    <row r="55" spans="1:11" x14ac:dyDescent="0.2">
      <c r="C55" s="505" t="s">
        <v>137</v>
      </c>
    </row>
    <row r="56" spans="1:11" ht="15" x14ac:dyDescent="0.25">
      <c r="C56" s="331" t="s">
        <v>297</v>
      </c>
    </row>
    <row r="57" spans="1:11" x14ac:dyDescent="0.2">
      <c r="C57" s="325" t="s">
        <v>13</v>
      </c>
      <c r="F57" s="506"/>
      <c r="G57" s="506"/>
    </row>
    <row r="58" spans="1:11" x14ac:dyDescent="0.2">
      <c r="C58" s="325" t="s">
        <v>10</v>
      </c>
      <c r="D58" s="325">
        <v>442</v>
      </c>
      <c r="E58" s="325">
        <v>493</v>
      </c>
      <c r="F58" s="507">
        <v>392</v>
      </c>
      <c r="G58" s="508">
        <v>482</v>
      </c>
      <c r="H58" s="325">
        <v>522</v>
      </c>
      <c r="I58" s="325">
        <v>448</v>
      </c>
      <c r="J58" s="325">
        <v>423</v>
      </c>
      <c r="K58" s="325">
        <v>613</v>
      </c>
    </row>
    <row r="59" spans="1:11" x14ac:dyDescent="0.2">
      <c r="C59" s="325" t="s">
        <v>11</v>
      </c>
      <c r="D59" s="325">
        <v>76</v>
      </c>
      <c r="E59" s="325">
        <v>93</v>
      </c>
      <c r="F59" s="325">
        <v>81</v>
      </c>
      <c r="G59" s="505">
        <v>93</v>
      </c>
      <c r="H59" s="325">
        <v>103</v>
      </c>
      <c r="I59" s="509">
        <v>105.4</v>
      </c>
      <c r="J59" s="325">
        <v>98</v>
      </c>
      <c r="K59" s="325">
        <v>97</v>
      </c>
    </row>
    <row r="60" spans="1:11" x14ac:dyDescent="0.2">
      <c r="C60" s="325" t="s">
        <v>166</v>
      </c>
      <c r="D60" s="500">
        <f t="shared" ref="D60:K60" si="8">D58/D59</f>
        <v>5.8157894736842106</v>
      </c>
      <c r="E60" s="500">
        <f t="shared" si="8"/>
        <v>5.301075268817204</v>
      </c>
      <c r="F60" s="500">
        <f t="shared" si="8"/>
        <v>4.8395061728395063</v>
      </c>
      <c r="G60" s="500">
        <f t="shared" si="8"/>
        <v>5.182795698924731</v>
      </c>
      <c r="H60" s="500">
        <f t="shared" si="8"/>
        <v>5.0679611650485441</v>
      </c>
      <c r="I60" s="500">
        <f t="shared" si="8"/>
        <v>4.2504743833017073</v>
      </c>
      <c r="J60" s="500">
        <f t="shared" si="8"/>
        <v>4.3163265306122449</v>
      </c>
      <c r="K60" s="500">
        <f t="shared" si="8"/>
        <v>6.3195876288659791</v>
      </c>
    </row>
    <row r="61" spans="1:11" x14ac:dyDescent="0.2">
      <c r="C61" s="325" t="s">
        <v>188</v>
      </c>
      <c r="D61" s="500">
        <v>39</v>
      </c>
      <c r="E61" s="500">
        <v>48</v>
      </c>
      <c r="F61" s="500">
        <v>48</v>
      </c>
      <c r="G61" s="510">
        <v>41</v>
      </c>
      <c r="H61" s="500">
        <v>45.5</v>
      </c>
      <c r="I61" s="500">
        <v>38</v>
      </c>
      <c r="J61" s="500">
        <v>42</v>
      </c>
      <c r="K61" s="325">
        <v>43</v>
      </c>
    </row>
    <row r="62" spans="1:11" x14ac:dyDescent="0.2">
      <c r="C62" s="325" t="s">
        <v>189</v>
      </c>
      <c r="D62" s="500">
        <v>37</v>
      </c>
      <c r="E62" s="500">
        <v>45</v>
      </c>
      <c r="F62" s="500">
        <v>44</v>
      </c>
      <c r="G62" s="500">
        <v>52</v>
      </c>
      <c r="H62" s="500">
        <v>55.5</v>
      </c>
      <c r="I62" s="500">
        <v>53</v>
      </c>
      <c r="J62" s="500">
        <v>56</v>
      </c>
      <c r="K62" s="325">
        <v>53</v>
      </c>
    </row>
    <row r="63" spans="1:11" x14ac:dyDescent="0.2">
      <c r="C63" s="325" t="s">
        <v>296</v>
      </c>
      <c r="D63" s="500">
        <f>D58/(D61+D62)</f>
        <v>5.8157894736842106</v>
      </c>
      <c r="E63" s="500">
        <v>7</v>
      </c>
      <c r="F63" s="500">
        <v>7</v>
      </c>
      <c r="G63" s="500">
        <v>6</v>
      </c>
      <c r="H63" s="500">
        <f>H58/(H61+H62)</f>
        <v>5.1683168316831685</v>
      </c>
      <c r="I63" s="500">
        <v>5</v>
      </c>
      <c r="J63" s="500">
        <f>J58/(J61+J62)</f>
        <v>4.3163265306122449</v>
      </c>
      <c r="K63" s="500">
        <f>K58/(K61+K62)</f>
        <v>6.385416666666667</v>
      </c>
    </row>
    <row r="64" spans="1:11" x14ac:dyDescent="0.2">
      <c r="A64" s="330"/>
      <c r="G64" s="511"/>
    </row>
    <row r="65" spans="2:11" ht="15" x14ac:dyDescent="0.25">
      <c r="C65" s="331" t="s">
        <v>177</v>
      </c>
      <c r="G65" s="511"/>
    </row>
    <row r="66" spans="2:11" ht="15" x14ac:dyDescent="0.25">
      <c r="C66" s="331" t="s">
        <v>15</v>
      </c>
      <c r="G66" s="511"/>
    </row>
    <row r="67" spans="2:11" x14ac:dyDescent="0.2">
      <c r="C67" s="325" t="s">
        <v>10</v>
      </c>
      <c r="D67" s="500">
        <v>103</v>
      </c>
      <c r="E67" s="500">
        <v>100</v>
      </c>
      <c r="F67" s="500">
        <v>110</v>
      </c>
      <c r="G67" s="511">
        <v>115</v>
      </c>
      <c r="H67" s="500">
        <v>120</v>
      </c>
      <c r="I67" s="500">
        <v>117</v>
      </c>
      <c r="J67" s="500">
        <v>112</v>
      </c>
      <c r="K67" s="325">
        <v>116</v>
      </c>
    </row>
    <row r="68" spans="2:11" x14ac:dyDescent="0.2">
      <c r="C68" s="325" t="s">
        <v>11</v>
      </c>
      <c r="D68" s="500">
        <v>19</v>
      </c>
      <c r="E68" s="500">
        <v>16</v>
      </c>
      <c r="F68" s="500">
        <v>18</v>
      </c>
      <c r="G68" s="511">
        <v>18</v>
      </c>
      <c r="H68" s="500">
        <v>18</v>
      </c>
      <c r="I68" s="500">
        <v>19</v>
      </c>
      <c r="J68" s="500">
        <v>19</v>
      </c>
      <c r="K68" s="325">
        <v>18</v>
      </c>
    </row>
    <row r="69" spans="2:11" x14ac:dyDescent="0.2">
      <c r="C69" s="332" t="s">
        <v>166</v>
      </c>
      <c r="D69" s="512">
        <f t="shared" ref="D69:K69" si="9">D67/D68</f>
        <v>5.4210526315789478</v>
      </c>
      <c r="E69" s="512">
        <f t="shared" si="9"/>
        <v>6.25</v>
      </c>
      <c r="F69" s="512">
        <f t="shared" si="9"/>
        <v>6.1111111111111107</v>
      </c>
      <c r="G69" s="512">
        <f t="shared" si="9"/>
        <v>6.3888888888888893</v>
      </c>
      <c r="H69" s="512">
        <f t="shared" si="9"/>
        <v>6.666666666666667</v>
      </c>
      <c r="I69" s="512">
        <f t="shared" si="9"/>
        <v>6.1578947368421053</v>
      </c>
      <c r="J69" s="512">
        <f t="shared" si="9"/>
        <v>5.8947368421052628</v>
      </c>
      <c r="K69" s="512">
        <f t="shared" si="9"/>
        <v>6.4444444444444446</v>
      </c>
    </row>
    <row r="70" spans="2:11" x14ac:dyDescent="0.2">
      <c r="G70" s="513"/>
    </row>
    <row r="71" spans="2:11" ht="15" x14ac:dyDescent="0.25">
      <c r="C71" s="514" t="s">
        <v>118</v>
      </c>
      <c r="F71" s="505"/>
      <c r="G71" s="505"/>
    </row>
    <row r="72" spans="2:11" ht="42" customHeight="1" x14ac:dyDescent="0.2">
      <c r="B72" s="515">
        <v>1</v>
      </c>
      <c r="C72" s="516" t="s">
        <v>306</v>
      </c>
    </row>
    <row r="74" spans="2:11" ht="15" x14ac:dyDescent="0.25">
      <c r="C74" s="333" t="s">
        <v>344</v>
      </c>
    </row>
    <row r="75" spans="2:11" x14ac:dyDescent="0.2">
      <c r="C75" s="333"/>
    </row>
    <row r="76" spans="2:11" ht="9" customHeight="1" x14ac:dyDescent="0.2"/>
    <row r="77" spans="2:11" x14ac:dyDescent="0.2">
      <c r="B77" s="346"/>
      <c r="C77" s="346"/>
    </row>
  </sheetData>
  <mergeCells count="4">
    <mergeCell ref="G2:J2"/>
    <mergeCell ref="D12:J12"/>
    <mergeCell ref="C7:K7"/>
    <mergeCell ref="C10:K10"/>
  </mergeCells>
  <phoneticPr fontId="0" type="noConversion"/>
  <printOptions horizontalCentered="1"/>
  <pageMargins left="1" right="1" top="1" bottom="1" header="0.5" footer="0.43"/>
  <pageSetup scale="60" orientation="portrait" r:id="rId1"/>
  <headerFooter alignWithMargins="0"/>
  <ignoredErrors>
    <ignoredError sqref="I48:I50 J49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07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76200</xdr:rowOff>
              </from>
              <to>
                <xdr:col>2</xdr:col>
                <xdr:colOff>238125</xdr:colOff>
                <xdr:row>2</xdr:row>
                <xdr:rowOff>171450</xdr:rowOff>
              </to>
            </anchor>
          </objectPr>
        </oleObject>
      </mc:Choice>
      <mc:Fallback>
        <oleObject progId="MSPhotoEd.3" shapeId="307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theme="9" tint="0.59999389629810485"/>
    <pageSetUpPr fitToPage="1"/>
  </sheetPr>
  <dimension ref="B3:T65"/>
  <sheetViews>
    <sheetView zoomScaleNormal="100" zoomScaleSheetLayoutView="85" workbookViewId="0">
      <selection activeCell="P3" sqref="P3"/>
    </sheetView>
  </sheetViews>
  <sheetFormatPr defaultColWidth="9.140625" defaultRowHeight="12.75" x14ac:dyDescent="0.2"/>
  <cols>
    <col min="1" max="1" width="2.7109375" style="351" customWidth="1"/>
    <col min="2" max="2" width="7.140625" style="351" customWidth="1"/>
    <col min="3" max="3" width="2" style="351" customWidth="1"/>
    <col min="4" max="4" width="30" style="351" customWidth="1"/>
    <col min="5" max="5" width="12" style="351" customWidth="1"/>
    <col min="6" max="6" width="11.85546875" style="351" customWidth="1"/>
    <col min="7" max="7" width="9.140625" style="351"/>
    <col min="8" max="8" width="8.7109375" style="351" customWidth="1"/>
    <col min="9" max="16384" width="9.140625" style="351"/>
  </cols>
  <sheetData>
    <row r="3" spans="2:15" x14ac:dyDescent="0.2">
      <c r="J3" s="586" t="s">
        <v>349</v>
      </c>
      <c r="K3" s="586"/>
      <c r="L3" s="586"/>
      <c r="M3" s="586"/>
    </row>
    <row r="5" spans="2:15" ht="14.25" customHeight="1" x14ac:dyDescent="0.2"/>
    <row r="8" spans="2:15" ht="15.75" x14ac:dyDescent="0.25">
      <c r="B8" s="355">
        <v>3.04</v>
      </c>
      <c r="C8" s="589" t="s">
        <v>368</v>
      </c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</row>
    <row r="9" spans="2:15" ht="12.75" customHeight="1" x14ac:dyDescent="0.25">
      <c r="B9" s="355"/>
      <c r="C9" s="354"/>
      <c r="D9" s="354"/>
      <c r="E9" s="354"/>
      <c r="F9" s="354"/>
    </row>
    <row r="11" spans="2:15" ht="12.75" customHeight="1" x14ac:dyDescent="0.2"/>
    <row r="12" spans="2:15" x14ac:dyDescent="0.2">
      <c r="C12" s="449"/>
      <c r="D12" s="449"/>
      <c r="E12" s="517"/>
      <c r="F12" s="517"/>
      <c r="G12" s="517">
        <v>2015</v>
      </c>
      <c r="H12" s="517">
        <v>2016</v>
      </c>
      <c r="I12" s="517">
        <v>2017</v>
      </c>
      <c r="J12" s="517">
        <v>2018</v>
      </c>
      <c r="K12" s="517">
        <v>2019</v>
      </c>
      <c r="L12" s="517">
        <v>2020</v>
      </c>
      <c r="M12" s="517">
        <v>2021</v>
      </c>
      <c r="N12" s="517">
        <v>2022</v>
      </c>
      <c r="O12" s="517">
        <v>2023</v>
      </c>
    </row>
    <row r="13" spans="2:15" x14ac:dyDescent="0.2">
      <c r="G13" s="359"/>
    </row>
    <row r="14" spans="2:15" x14ac:dyDescent="0.2">
      <c r="C14" s="518" t="s">
        <v>190</v>
      </c>
      <c r="G14" s="359"/>
    </row>
    <row r="15" spans="2:15" ht="10.5" customHeight="1" x14ac:dyDescent="0.2">
      <c r="C15" s="465"/>
      <c r="D15" s="518"/>
      <c r="G15" s="359"/>
      <c r="H15" s="359"/>
      <c r="I15" s="359"/>
    </row>
    <row r="16" spans="2:15" ht="14.25" x14ac:dyDescent="0.2">
      <c r="C16" s="445"/>
      <c r="D16" s="519" t="s">
        <v>238</v>
      </c>
      <c r="G16" s="368">
        <v>391</v>
      </c>
      <c r="H16" s="368">
        <v>389</v>
      </c>
      <c r="I16" s="368">
        <v>402</v>
      </c>
      <c r="J16" s="368">
        <v>403</v>
      </c>
      <c r="K16" s="368">
        <v>397</v>
      </c>
      <c r="L16" s="368">
        <v>359</v>
      </c>
      <c r="M16" s="356">
        <v>365</v>
      </c>
      <c r="N16" s="368">
        <v>459</v>
      </c>
      <c r="O16" s="368">
        <v>421</v>
      </c>
    </row>
    <row r="17" spans="3:15" x14ac:dyDescent="0.2">
      <c r="D17" s="519" t="s">
        <v>284</v>
      </c>
      <c r="G17" s="368">
        <v>9.5</v>
      </c>
      <c r="H17" s="368">
        <v>9.6</v>
      </c>
      <c r="I17" s="368">
        <v>9.6</v>
      </c>
      <c r="J17" s="368">
        <v>9.1999999999999993</v>
      </c>
      <c r="K17" s="368">
        <v>9.3000000000000007</v>
      </c>
      <c r="L17" s="368">
        <v>8.8000000000000007</v>
      </c>
      <c r="M17" s="356">
        <v>9.1</v>
      </c>
      <c r="N17" s="368">
        <v>8.9</v>
      </c>
      <c r="O17" s="368">
        <v>8.9</v>
      </c>
    </row>
    <row r="18" spans="3:15" x14ac:dyDescent="0.2">
      <c r="C18" s="445" t="s">
        <v>191</v>
      </c>
      <c r="D18" s="520"/>
      <c r="G18" s="368"/>
      <c r="H18" s="368"/>
      <c r="I18" s="368"/>
      <c r="J18" s="368"/>
      <c r="M18" s="356"/>
    </row>
    <row r="19" spans="3:15" x14ac:dyDescent="0.2">
      <c r="D19" s="519" t="s">
        <v>192</v>
      </c>
      <c r="G19" s="521">
        <v>46</v>
      </c>
      <c r="H19" s="521">
        <v>47.8</v>
      </c>
      <c r="I19" s="521">
        <v>52</v>
      </c>
      <c r="J19" s="521">
        <v>49.1</v>
      </c>
      <c r="K19" s="521">
        <v>47.6</v>
      </c>
      <c r="L19" s="521">
        <v>54.3</v>
      </c>
      <c r="M19" s="356">
        <v>69.3</v>
      </c>
      <c r="N19" s="521">
        <v>52.5</v>
      </c>
      <c r="O19" s="521">
        <v>53</v>
      </c>
    </row>
    <row r="20" spans="3:15" x14ac:dyDescent="0.2">
      <c r="D20" s="519" t="s">
        <v>193</v>
      </c>
      <c r="G20" s="521">
        <v>67.3</v>
      </c>
      <c r="H20" s="521">
        <v>68.099999999999994</v>
      </c>
      <c r="I20" s="521">
        <v>71.400000000000006</v>
      </c>
      <c r="J20" s="521">
        <v>71.7</v>
      </c>
      <c r="K20" s="521">
        <v>67.8</v>
      </c>
      <c r="L20" s="521">
        <v>76</v>
      </c>
      <c r="M20" s="356">
        <v>82.7</v>
      </c>
      <c r="N20" s="521">
        <v>71.5</v>
      </c>
      <c r="O20" s="521">
        <v>67.2</v>
      </c>
    </row>
    <row r="21" spans="3:15" x14ac:dyDescent="0.2">
      <c r="D21" s="519" t="s">
        <v>204</v>
      </c>
      <c r="G21" s="521">
        <v>48.3</v>
      </c>
      <c r="H21" s="521">
        <v>46.8</v>
      </c>
      <c r="I21" s="521">
        <v>50.7</v>
      </c>
      <c r="J21" s="521">
        <v>54.3</v>
      </c>
      <c r="K21" s="521">
        <v>47.4</v>
      </c>
      <c r="L21" s="521">
        <v>53.8</v>
      </c>
      <c r="M21" s="356">
        <v>63.6</v>
      </c>
      <c r="N21" s="521">
        <v>45.5</v>
      </c>
      <c r="O21" s="521">
        <v>56.5</v>
      </c>
    </row>
    <row r="22" spans="3:15" ht="15" customHeight="1" x14ac:dyDescent="0.2">
      <c r="D22" s="519" t="s">
        <v>194</v>
      </c>
      <c r="G22" s="521">
        <v>91</v>
      </c>
      <c r="H22" s="521">
        <v>96.7</v>
      </c>
      <c r="I22" s="521">
        <v>94.5</v>
      </c>
      <c r="J22" s="521">
        <v>96</v>
      </c>
      <c r="K22" s="521">
        <v>90.9</v>
      </c>
      <c r="L22" s="521">
        <v>94.2</v>
      </c>
      <c r="M22" s="521">
        <v>96.9</v>
      </c>
      <c r="N22" s="356">
        <v>93.5</v>
      </c>
      <c r="O22" s="521">
        <v>91.7</v>
      </c>
    </row>
    <row r="23" spans="3:15" x14ac:dyDescent="0.2">
      <c r="C23" s="445"/>
      <c r="D23" s="522" t="s">
        <v>195</v>
      </c>
      <c r="G23" s="521">
        <v>98.2</v>
      </c>
      <c r="H23" s="521">
        <v>99.6</v>
      </c>
      <c r="I23" s="521">
        <v>98.5</v>
      </c>
      <c r="J23" s="521">
        <v>99</v>
      </c>
      <c r="K23" s="521">
        <v>98</v>
      </c>
      <c r="L23" s="521">
        <v>100</v>
      </c>
      <c r="M23" s="521">
        <v>98.9</v>
      </c>
      <c r="N23" s="356">
        <v>99.5</v>
      </c>
      <c r="O23" s="521">
        <v>92.4</v>
      </c>
    </row>
    <row r="24" spans="3:15" x14ac:dyDescent="0.2">
      <c r="C24" s="445"/>
      <c r="D24" s="522" t="s">
        <v>196</v>
      </c>
      <c r="G24" s="521">
        <v>68.5</v>
      </c>
      <c r="H24" s="521">
        <v>70.400000000000006</v>
      </c>
      <c r="I24" s="521">
        <v>73.400000000000006</v>
      </c>
      <c r="J24" s="521">
        <v>78.2</v>
      </c>
      <c r="K24" s="521">
        <v>73.8</v>
      </c>
      <c r="L24" s="521">
        <v>86.6</v>
      </c>
      <c r="M24" s="356">
        <v>86.8</v>
      </c>
      <c r="N24" s="356">
        <v>76.3</v>
      </c>
      <c r="O24" s="521">
        <v>78.599999999999994</v>
      </c>
    </row>
    <row r="25" spans="3:15" x14ac:dyDescent="0.2">
      <c r="D25" s="522" t="s">
        <v>197</v>
      </c>
      <c r="G25" s="521">
        <v>52.4</v>
      </c>
      <c r="H25" s="521">
        <v>50.4</v>
      </c>
      <c r="I25" s="521">
        <v>52.7</v>
      </c>
      <c r="J25" s="521">
        <v>56.6</v>
      </c>
      <c r="K25" s="521">
        <v>49.4</v>
      </c>
      <c r="L25" s="521">
        <v>56.3</v>
      </c>
      <c r="M25" s="356">
        <v>64.099999999999994</v>
      </c>
      <c r="N25" s="356">
        <v>48.1</v>
      </c>
      <c r="O25" s="521">
        <v>63.2</v>
      </c>
    </row>
    <row r="26" spans="3:15" x14ac:dyDescent="0.2">
      <c r="G26" s="523"/>
      <c r="H26" s="523"/>
      <c r="I26" s="523"/>
      <c r="J26" s="523"/>
    </row>
    <row r="27" spans="3:15" x14ac:dyDescent="0.2">
      <c r="G27" s="523"/>
      <c r="H27" s="523"/>
      <c r="I27" s="523"/>
      <c r="J27" s="523"/>
      <c r="K27" s="523"/>
      <c r="L27" s="523"/>
    </row>
    <row r="28" spans="3:15" x14ac:dyDescent="0.2">
      <c r="C28" s="518" t="s">
        <v>214</v>
      </c>
      <c r="G28" s="523"/>
      <c r="H28" s="523"/>
      <c r="I28" s="523"/>
      <c r="J28" s="523"/>
      <c r="K28" s="523"/>
      <c r="L28" s="523"/>
    </row>
    <row r="29" spans="3:15" x14ac:dyDescent="0.2">
      <c r="D29" s="518"/>
      <c r="G29" s="523"/>
      <c r="H29" s="523"/>
      <c r="I29" s="523"/>
      <c r="J29" s="523"/>
    </row>
    <row r="30" spans="3:15" ht="15" customHeight="1" x14ac:dyDescent="0.2">
      <c r="D30" s="519" t="s">
        <v>238</v>
      </c>
      <c r="G30" s="368">
        <v>368</v>
      </c>
      <c r="H30" s="368">
        <v>365</v>
      </c>
      <c r="I30" s="368">
        <v>377</v>
      </c>
      <c r="J30" s="368">
        <v>385</v>
      </c>
      <c r="K30" s="368">
        <v>376</v>
      </c>
      <c r="L30" s="368">
        <v>340</v>
      </c>
      <c r="M30" s="368">
        <v>365</v>
      </c>
      <c r="N30" s="368">
        <v>426</v>
      </c>
      <c r="O30" s="368">
        <v>395</v>
      </c>
    </row>
    <row r="31" spans="3:15" x14ac:dyDescent="0.2">
      <c r="C31" s="445"/>
      <c r="D31" s="519" t="s">
        <v>312</v>
      </c>
      <c r="G31" s="521">
        <v>9.6</v>
      </c>
      <c r="H31" s="521">
        <v>9.6999999999999993</v>
      </c>
      <c r="I31" s="521">
        <v>9.6999999999999993</v>
      </c>
      <c r="J31" s="521">
        <v>9.1999999999999993</v>
      </c>
      <c r="K31" s="521">
        <v>9.3000000000000007</v>
      </c>
      <c r="L31" s="521">
        <v>8.8000000000000007</v>
      </c>
      <c r="M31" s="521">
        <v>9.1</v>
      </c>
      <c r="N31" s="521">
        <v>8.9</v>
      </c>
      <c r="O31" s="521">
        <v>8.9</v>
      </c>
    </row>
    <row r="32" spans="3:15" x14ac:dyDescent="0.2">
      <c r="C32" s="445" t="s">
        <v>191</v>
      </c>
      <c r="D32" s="520"/>
      <c r="G32" s="368"/>
      <c r="H32" s="368"/>
      <c r="I32" s="368"/>
      <c r="J32" s="368"/>
    </row>
    <row r="33" spans="3:20" x14ac:dyDescent="0.2">
      <c r="D33" s="519" t="s">
        <v>192</v>
      </c>
      <c r="G33" s="368">
        <v>45.1</v>
      </c>
      <c r="H33" s="521">
        <v>46</v>
      </c>
      <c r="I33" s="521">
        <v>52.3</v>
      </c>
      <c r="J33" s="521">
        <v>47.5</v>
      </c>
      <c r="K33" s="521">
        <v>46.5</v>
      </c>
      <c r="L33" s="521">
        <v>53.2</v>
      </c>
      <c r="M33" s="521">
        <v>68.2</v>
      </c>
      <c r="N33" s="521">
        <v>51.6</v>
      </c>
      <c r="O33" s="521">
        <v>52.2</v>
      </c>
    </row>
    <row r="34" spans="3:20" x14ac:dyDescent="0.2">
      <c r="D34" s="519" t="s">
        <v>193</v>
      </c>
      <c r="G34" s="521">
        <v>66</v>
      </c>
      <c r="H34" s="521">
        <v>66.8</v>
      </c>
      <c r="I34" s="521">
        <v>71.400000000000006</v>
      </c>
      <c r="J34" s="521">
        <v>71.2</v>
      </c>
      <c r="K34" s="521">
        <v>66.2</v>
      </c>
      <c r="L34" s="521">
        <v>75</v>
      </c>
      <c r="M34" s="521">
        <v>81.900000000000006</v>
      </c>
      <c r="N34" s="521">
        <v>71.099999999999994</v>
      </c>
      <c r="O34" s="521">
        <v>65.8</v>
      </c>
      <c r="R34" s="521"/>
      <c r="S34" s="521"/>
      <c r="T34" s="524"/>
    </row>
    <row r="35" spans="3:20" x14ac:dyDescent="0.2">
      <c r="D35" s="519" t="s">
        <v>204</v>
      </c>
      <c r="G35" s="368">
        <v>46.5</v>
      </c>
      <c r="H35" s="368">
        <v>44.9</v>
      </c>
      <c r="I35" s="368">
        <v>50.1</v>
      </c>
      <c r="J35" s="521">
        <v>52.987012987012989</v>
      </c>
      <c r="K35" s="521">
        <v>46</v>
      </c>
      <c r="L35" s="521">
        <v>52.1</v>
      </c>
      <c r="M35" s="521">
        <v>62.7</v>
      </c>
      <c r="N35" s="521">
        <v>44.6</v>
      </c>
      <c r="O35" s="521">
        <v>54.4</v>
      </c>
      <c r="R35" s="521"/>
      <c r="S35" s="521"/>
      <c r="T35" s="524"/>
    </row>
    <row r="36" spans="3:20" x14ac:dyDescent="0.2">
      <c r="D36" s="519" t="s">
        <v>194</v>
      </c>
      <c r="G36" s="368">
        <v>90.8</v>
      </c>
      <c r="H36" s="368">
        <v>96.4</v>
      </c>
      <c r="I36" s="521">
        <v>95</v>
      </c>
      <c r="J36" s="521">
        <v>95.844155844155836</v>
      </c>
      <c r="K36" s="521">
        <v>90.4</v>
      </c>
      <c r="L36" s="521">
        <v>94.1</v>
      </c>
      <c r="M36" s="521">
        <v>97.1</v>
      </c>
      <c r="N36" s="356">
        <v>94.6</v>
      </c>
      <c r="O36" s="521">
        <v>91.6</v>
      </c>
    </row>
    <row r="37" spans="3:20" ht="15" customHeight="1" x14ac:dyDescent="0.2">
      <c r="D37" s="522" t="s">
        <v>195</v>
      </c>
      <c r="G37" s="368">
        <v>98.1</v>
      </c>
      <c r="H37" s="368">
        <v>99.2</v>
      </c>
      <c r="I37" s="368">
        <v>99.2</v>
      </c>
      <c r="J37" s="521">
        <v>99</v>
      </c>
      <c r="K37" s="521">
        <v>97.9</v>
      </c>
      <c r="L37" s="521">
        <v>100</v>
      </c>
      <c r="M37" s="521">
        <v>98.8</v>
      </c>
      <c r="N37" s="356">
        <v>99.5</v>
      </c>
      <c r="O37" s="521">
        <v>98.5</v>
      </c>
    </row>
    <row r="38" spans="3:20" x14ac:dyDescent="0.2">
      <c r="C38" s="445"/>
      <c r="D38" s="522" t="s">
        <v>196</v>
      </c>
      <c r="G38" s="368">
        <v>67.7</v>
      </c>
      <c r="H38" s="368">
        <v>69.599999999999994</v>
      </c>
      <c r="I38" s="368">
        <v>73.7</v>
      </c>
      <c r="J38" s="521">
        <v>77.402597402597394</v>
      </c>
      <c r="K38" s="521">
        <v>72.599999999999994</v>
      </c>
      <c r="L38" s="521">
        <v>86.2</v>
      </c>
      <c r="M38" s="521">
        <v>86.6</v>
      </c>
      <c r="N38" s="521">
        <v>75.8</v>
      </c>
      <c r="O38" s="521">
        <v>77.2</v>
      </c>
    </row>
    <row r="39" spans="3:20" x14ac:dyDescent="0.2">
      <c r="D39" s="522" t="s">
        <v>197</v>
      </c>
      <c r="G39" s="368">
        <v>50.5</v>
      </c>
      <c r="H39" s="368">
        <v>48.8</v>
      </c>
      <c r="I39" s="368">
        <v>52.3</v>
      </c>
      <c r="J39" s="521">
        <v>55.324675324675326</v>
      </c>
      <c r="K39" s="521">
        <v>48.1</v>
      </c>
      <c r="L39" s="521">
        <v>54.7</v>
      </c>
      <c r="M39" s="521">
        <v>63</v>
      </c>
      <c r="N39" s="521">
        <v>47.2</v>
      </c>
      <c r="O39" s="521">
        <v>61.5</v>
      </c>
    </row>
    <row r="40" spans="3:20" x14ac:dyDescent="0.2">
      <c r="C40" s="445"/>
      <c r="G40" s="368"/>
      <c r="H40" s="368"/>
      <c r="I40" s="368"/>
      <c r="J40" s="368"/>
      <c r="K40" s="368"/>
      <c r="L40" s="368"/>
    </row>
    <row r="41" spans="3:20" x14ac:dyDescent="0.2">
      <c r="D41" s="518"/>
      <c r="G41" s="368"/>
      <c r="H41" s="368"/>
      <c r="I41" s="368"/>
      <c r="J41" s="368"/>
      <c r="K41" s="368"/>
      <c r="L41" s="368"/>
    </row>
    <row r="42" spans="3:20" x14ac:dyDescent="0.2">
      <c r="C42" s="518" t="s">
        <v>215</v>
      </c>
      <c r="G42" s="368"/>
      <c r="H42" s="368"/>
      <c r="I42" s="368"/>
      <c r="J42" s="368"/>
      <c r="K42" s="368"/>
      <c r="L42" s="368"/>
    </row>
    <row r="43" spans="3:20" x14ac:dyDescent="0.2">
      <c r="D43" s="518"/>
      <c r="G43" s="368"/>
      <c r="H43" s="368"/>
      <c r="I43" s="368"/>
      <c r="J43" s="368"/>
      <c r="P43" s="524"/>
      <c r="Q43" s="524"/>
      <c r="R43" s="524"/>
    </row>
    <row r="44" spans="3:20" ht="15" customHeight="1" x14ac:dyDescent="0.2">
      <c r="D44" s="519" t="s">
        <v>238</v>
      </c>
      <c r="G44" s="368">
        <v>23</v>
      </c>
      <c r="H44" s="385">
        <v>24</v>
      </c>
      <c r="I44" s="368">
        <v>25</v>
      </c>
      <c r="J44" s="368">
        <v>18</v>
      </c>
      <c r="K44" s="368">
        <v>21</v>
      </c>
      <c r="L44" s="368">
        <v>19</v>
      </c>
      <c r="M44" s="368">
        <v>22</v>
      </c>
      <c r="N44" s="368">
        <v>33</v>
      </c>
      <c r="O44" s="368">
        <v>26</v>
      </c>
    </row>
    <row r="45" spans="3:20" x14ac:dyDescent="0.2">
      <c r="C45" s="445"/>
      <c r="D45" s="519" t="s">
        <v>312</v>
      </c>
      <c r="G45" s="521">
        <v>8</v>
      </c>
      <c r="H45" s="525">
        <v>8.8000000000000007</v>
      </c>
      <c r="I45" s="521">
        <v>8.4</v>
      </c>
      <c r="J45" s="521">
        <v>8.4</v>
      </c>
      <c r="K45" s="521">
        <v>9.4</v>
      </c>
      <c r="L45" s="521">
        <v>9.1999999999999993</v>
      </c>
      <c r="M45" s="521">
        <v>9.5</v>
      </c>
      <c r="N45" s="521">
        <v>9.3000000000000007</v>
      </c>
      <c r="O45" s="521">
        <v>9.6999999999999993</v>
      </c>
    </row>
    <row r="46" spans="3:20" x14ac:dyDescent="0.2">
      <c r="C46" s="445" t="s">
        <v>191</v>
      </c>
      <c r="D46" s="520"/>
      <c r="G46" s="368"/>
      <c r="H46" s="385"/>
      <c r="I46" s="368"/>
      <c r="J46" s="368"/>
    </row>
    <row r="47" spans="3:20" x14ac:dyDescent="0.2">
      <c r="D47" s="519" t="s">
        <v>192</v>
      </c>
      <c r="G47" s="521">
        <v>60.9</v>
      </c>
      <c r="H47" s="525">
        <v>75</v>
      </c>
      <c r="I47" s="521">
        <v>48</v>
      </c>
      <c r="J47" s="521">
        <v>83.3</v>
      </c>
      <c r="K47" s="521">
        <v>66.7</v>
      </c>
      <c r="L47" s="521">
        <v>73.7</v>
      </c>
      <c r="M47" s="521">
        <v>86.4</v>
      </c>
      <c r="N47" s="521">
        <v>63.6</v>
      </c>
      <c r="O47" s="521">
        <v>65.400000000000006</v>
      </c>
    </row>
    <row r="48" spans="3:20" x14ac:dyDescent="0.2">
      <c r="D48" s="519" t="s">
        <v>193</v>
      </c>
      <c r="G48" s="521">
        <v>87</v>
      </c>
      <c r="H48" s="525">
        <v>87.5</v>
      </c>
      <c r="I48" s="521">
        <v>72</v>
      </c>
      <c r="J48" s="521">
        <v>83.3</v>
      </c>
      <c r="K48" s="521">
        <v>95.2</v>
      </c>
      <c r="L48" s="521">
        <v>94.7</v>
      </c>
      <c r="M48" s="521">
        <v>95.5</v>
      </c>
      <c r="N48" s="521">
        <v>75.8</v>
      </c>
      <c r="O48" s="521">
        <v>88.5</v>
      </c>
    </row>
    <row r="49" spans="2:15" x14ac:dyDescent="0.2">
      <c r="D49" s="519" t="s">
        <v>204</v>
      </c>
      <c r="G49" s="521">
        <v>78.3</v>
      </c>
      <c r="H49" s="525">
        <v>75</v>
      </c>
      <c r="I49" s="521">
        <v>60</v>
      </c>
      <c r="J49" s="521">
        <v>83.3</v>
      </c>
      <c r="K49" s="521">
        <v>71.400000000000006</v>
      </c>
      <c r="L49" s="521">
        <v>84.2</v>
      </c>
      <c r="M49" s="521">
        <v>77.3</v>
      </c>
      <c r="N49" s="521">
        <v>57.6</v>
      </c>
      <c r="O49" s="521">
        <v>88.5</v>
      </c>
    </row>
    <row r="50" spans="2:15" x14ac:dyDescent="0.2">
      <c r="D50" s="519" t="s">
        <v>194</v>
      </c>
      <c r="G50" s="521">
        <v>95.7</v>
      </c>
      <c r="H50" s="525">
        <v>100</v>
      </c>
      <c r="I50" s="521">
        <v>88</v>
      </c>
      <c r="J50" s="521">
        <v>100</v>
      </c>
      <c r="K50" s="521">
        <v>100</v>
      </c>
      <c r="L50" s="521">
        <v>94.7</v>
      </c>
      <c r="M50" s="521">
        <v>95.5</v>
      </c>
      <c r="N50" s="356">
        <v>100</v>
      </c>
      <c r="O50" s="521">
        <v>100</v>
      </c>
    </row>
    <row r="51" spans="2:15" x14ac:dyDescent="0.2">
      <c r="C51" s="445"/>
      <c r="D51" s="522" t="s">
        <v>195</v>
      </c>
      <c r="G51" s="521">
        <v>100</v>
      </c>
      <c r="H51" s="525">
        <v>100</v>
      </c>
      <c r="I51" s="521">
        <v>88</v>
      </c>
      <c r="J51" s="521">
        <v>100</v>
      </c>
      <c r="K51" s="521">
        <v>100</v>
      </c>
      <c r="L51" s="521">
        <v>100</v>
      </c>
      <c r="M51" s="521">
        <v>100</v>
      </c>
      <c r="N51" s="356">
        <v>100</v>
      </c>
      <c r="O51" s="521">
        <v>100</v>
      </c>
    </row>
    <row r="52" spans="2:15" x14ac:dyDescent="0.2">
      <c r="D52" s="522" t="s">
        <v>196</v>
      </c>
      <c r="G52" s="521">
        <v>82.6</v>
      </c>
      <c r="H52" s="525">
        <v>83.3</v>
      </c>
      <c r="I52" s="521">
        <v>68</v>
      </c>
      <c r="J52" s="521">
        <v>94.4</v>
      </c>
      <c r="K52" s="521">
        <v>84.3</v>
      </c>
      <c r="L52" s="521">
        <v>94.7</v>
      </c>
      <c r="M52" s="521">
        <v>90.9</v>
      </c>
      <c r="N52" s="521">
        <v>81.8</v>
      </c>
      <c r="O52" s="521">
        <v>100</v>
      </c>
    </row>
    <row r="53" spans="2:15" x14ac:dyDescent="0.2">
      <c r="D53" s="522" t="s">
        <v>197</v>
      </c>
      <c r="G53" s="521">
        <v>82.6</v>
      </c>
      <c r="H53" s="525">
        <v>75</v>
      </c>
      <c r="I53" s="521">
        <v>60</v>
      </c>
      <c r="J53" s="521">
        <v>83.3</v>
      </c>
      <c r="K53" s="521">
        <v>56.5</v>
      </c>
      <c r="L53" s="521">
        <v>84.2</v>
      </c>
      <c r="M53" s="521">
        <v>81.8</v>
      </c>
      <c r="N53" s="521">
        <v>60.6</v>
      </c>
      <c r="O53" s="521">
        <v>88.5</v>
      </c>
    </row>
    <row r="54" spans="2:15" x14ac:dyDescent="0.2">
      <c r="C54" s="526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</row>
    <row r="55" spans="2:15" x14ac:dyDescent="0.2">
      <c r="C55" s="394"/>
      <c r="D55" s="359"/>
      <c r="E55" s="359"/>
      <c r="F55" s="359"/>
      <c r="G55" s="359"/>
    </row>
    <row r="56" spans="2:15" x14ac:dyDescent="0.2">
      <c r="B56" s="359"/>
      <c r="C56" s="394" t="s">
        <v>119</v>
      </c>
      <c r="E56" s="359"/>
      <c r="F56" s="359"/>
      <c r="G56" s="359"/>
    </row>
    <row r="57" spans="2:15" ht="18" customHeight="1" x14ac:dyDescent="0.2">
      <c r="B57" s="359"/>
      <c r="C57" s="395">
        <v>1</v>
      </c>
      <c r="D57" s="601" t="s">
        <v>280</v>
      </c>
      <c r="E57" s="601"/>
      <c r="F57" s="601"/>
      <c r="G57" s="601"/>
      <c r="H57" s="601"/>
    </row>
    <row r="58" spans="2:15" ht="17.25" customHeight="1" x14ac:dyDescent="0.2">
      <c r="B58" s="359"/>
      <c r="C58" s="359"/>
      <c r="D58" s="601" t="s">
        <v>222</v>
      </c>
      <c r="E58" s="601"/>
      <c r="F58" s="601"/>
      <c r="G58" s="601"/>
      <c r="H58" s="601"/>
    </row>
    <row r="59" spans="2:15" x14ac:dyDescent="0.2">
      <c r="B59" s="359"/>
      <c r="C59" s="359"/>
      <c r="D59" s="351" t="s">
        <v>313</v>
      </c>
      <c r="G59" s="359"/>
    </row>
    <row r="60" spans="2:15" x14ac:dyDescent="0.2">
      <c r="B60" s="359"/>
      <c r="C60" s="359"/>
      <c r="G60" s="359"/>
    </row>
    <row r="61" spans="2:15" ht="14.25" x14ac:dyDescent="0.2">
      <c r="B61" s="359"/>
      <c r="C61" s="396"/>
      <c r="D61" s="359" t="s">
        <v>281</v>
      </c>
      <c r="G61" s="359"/>
    </row>
    <row r="62" spans="2:15" ht="14.25" x14ac:dyDescent="0.2">
      <c r="B62" s="359"/>
      <c r="C62" s="396"/>
      <c r="G62" s="359"/>
    </row>
    <row r="63" spans="2:15" ht="14.25" x14ac:dyDescent="0.2">
      <c r="B63" s="359"/>
      <c r="C63" s="396"/>
      <c r="D63" s="359"/>
      <c r="G63" s="359"/>
    </row>
    <row r="64" spans="2:15" ht="9" customHeight="1" x14ac:dyDescent="0.2">
      <c r="B64" s="359"/>
      <c r="C64" s="396"/>
      <c r="D64" s="394"/>
    </row>
    <row r="65" spans="2:6" x14ac:dyDescent="0.2">
      <c r="B65" s="356"/>
      <c r="C65" s="356"/>
      <c r="D65" s="356"/>
      <c r="E65" s="356"/>
      <c r="F65" s="356"/>
    </row>
  </sheetData>
  <mergeCells count="4">
    <mergeCell ref="D57:H57"/>
    <mergeCell ref="D58:H58"/>
    <mergeCell ref="J3:M3"/>
    <mergeCell ref="C8:O8"/>
  </mergeCells>
  <phoneticPr fontId="0" type="noConversion"/>
  <printOptions horizontalCentered="1"/>
  <pageMargins left="0.98425196850393704" right="0.98425196850393704" top="0.98425196850393704" bottom="0.98425196850393704" header="0.51181102362204722" footer="0.43307086614173229"/>
  <pageSetup scale="51" orientation="portrait" r:id="rId1"/>
  <headerFooter alignWithMargins="0"/>
  <colBreaks count="1" manualBreakCount="1">
    <brk id="7" max="63" man="1"/>
  </colBreaks>
  <drawing r:id="rId2"/>
  <legacyDrawing r:id="rId3"/>
  <oleObjects>
    <mc:AlternateContent xmlns:mc="http://schemas.openxmlformats.org/markup-compatibility/2006">
      <mc:Choice Requires="x14">
        <oleObject progId="MSPhotoEd.3" shapeId="2253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95250</xdr:colOff>
                <xdr:row>2</xdr:row>
                <xdr:rowOff>95250</xdr:rowOff>
              </to>
            </anchor>
          </objectPr>
        </oleObject>
      </mc:Choice>
      <mc:Fallback>
        <oleObject progId="MSPhotoEd.3" shapeId="2253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H66"/>
  <sheetViews>
    <sheetView workbookViewId="0">
      <selection activeCell="E16" sqref="E16"/>
    </sheetView>
  </sheetViews>
  <sheetFormatPr defaultRowHeight="12.75" x14ac:dyDescent="0.2"/>
  <cols>
    <col min="1" max="1" width="6.140625" customWidth="1"/>
    <col min="2" max="2" width="13.140625" customWidth="1"/>
    <col min="3" max="3" width="21.28515625" customWidth="1"/>
    <col min="4" max="4" width="0.7109375" hidden="1" customWidth="1"/>
    <col min="5" max="5" width="22.140625" customWidth="1"/>
    <col min="6" max="6" width="4.28515625" customWidth="1"/>
    <col min="7" max="7" width="15.28515625" customWidth="1"/>
    <col min="8" max="8" width="11.28515625" customWidth="1"/>
  </cols>
  <sheetData>
    <row r="1" spans="1:8" ht="15.75" x14ac:dyDescent="0.25">
      <c r="A1" s="1" t="e">
        <f>'3.03'!C10+0.01</f>
        <v>#VALUE!</v>
      </c>
      <c r="B1" s="13" t="s">
        <v>20</v>
      </c>
      <c r="C1" s="11"/>
      <c r="D1" s="11"/>
      <c r="E1" s="11"/>
      <c r="F1" s="11"/>
      <c r="G1" s="11"/>
      <c r="H1" s="11"/>
    </row>
    <row r="4" spans="1:8" ht="25.5" customHeight="1" x14ac:dyDescent="0.2">
      <c r="C4" s="30" t="s">
        <v>21</v>
      </c>
      <c r="D4" s="30"/>
      <c r="E4" s="30" t="s">
        <v>22</v>
      </c>
      <c r="F4" s="30"/>
      <c r="G4" s="30" t="s">
        <v>23</v>
      </c>
      <c r="H4" s="27" t="s">
        <v>24</v>
      </c>
    </row>
    <row r="6" spans="1:8" x14ac:dyDescent="0.2">
      <c r="B6" s="26" t="s">
        <v>17</v>
      </c>
    </row>
    <row r="8" spans="1:8" x14ac:dyDescent="0.2">
      <c r="B8" s="7">
        <v>1990</v>
      </c>
    </row>
    <row r="9" spans="1:8" x14ac:dyDescent="0.2">
      <c r="B9" s="6" t="s">
        <v>25</v>
      </c>
    </row>
    <row r="10" spans="1:8" x14ac:dyDescent="0.2">
      <c r="B10" s="6" t="s">
        <v>26</v>
      </c>
    </row>
    <row r="11" spans="1:8" x14ac:dyDescent="0.2">
      <c r="B11" s="7">
        <v>1991</v>
      </c>
    </row>
    <row r="12" spans="1:8" x14ac:dyDescent="0.2">
      <c r="B12" s="6" t="s">
        <v>25</v>
      </c>
    </row>
    <row r="13" spans="1:8" x14ac:dyDescent="0.2">
      <c r="B13" s="6" t="s">
        <v>26</v>
      </c>
    </row>
    <row r="14" spans="1:8" x14ac:dyDescent="0.2">
      <c r="B14" s="7">
        <v>1992</v>
      </c>
    </row>
    <row r="15" spans="1:8" x14ac:dyDescent="0.2">
      <c r="B15" s="6" t="s">
        <v>25</v>
      </c>
    </row>
    <row r="16" spans="1:8" x14ac:dyDescent="0.2">
      <c r="B16" s="6" t="s">
        <v>26</v>
      </c>
    </row>
    <row r="17" spans="2:8" x14ac:dyDescent="0.2">
      <c r="B17" s="10">
        <v>1993</v>
      </c>
    </row>
    <row r="18" spans="2:8" x14ac:dyDescent="0.2">
      <c r="B18" s="6" t="s">
        <v>25</v>
      </c>
    </row>
    <row r="19" spans="2:8" x14ac:dyDescent="0.2">
      <c r="B19" s="6" t="s">
        <v>26</v>
      </c>
    </row>
    <row r="20" spans="2:8" x14ac:dyDescent="0.2">
      <c r="B20" s="10">
        <v>1994</v>
      </c>
    </row>
    <row r="21" spans="2:8" x14ac:dyDescent="0.2">
      <c r="B21" s="6" t="s">
        <v>25</v>
      </c>
    </row>
    <row r="22" spans="2:8" x14ac:dyDescent="0.2">
      <c r="B22" s="6" t="s">
        <v>26</v>
      </c>
    </row>
    <row r="23" spans="2:8" x14ac:dyDescent="0.2">
      <c r="B23" s="10">
        <v>1995</v>
      </c>
    </row>
    <row r="24" spans="2:8" x14ac:dyDescent="0.2">
      <c r="B24" s="6" t="s">
        <v>25</v>
      </c>
    </row>
    <row r="25" spans="2:8" x14ac:dyDescent="0.2">
      <c r="B25" s="6" t="s">
        <v>26</v>
      </c>
    </row>
    <row r="26" spans="2:8" x14ac:dyDescent="0.2">
      <c r="B26" s="10">
        <v>1996</v>
      </c>
      <c r="G26">
        <v>45</v>
      </c>
    </row>
    <row r="27" spans="2:8" x14ac:dyDescent="0.2">
      <c r="B27" s="6" t="s">
        <v>25</v>
      </c>
    </row>
    <row r="28" spans="2:8" x14ac:dyDescent="0.2">
      <c r="B28" s="6" t="s">
        <v>26</v>
      </c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19"/>
      <c r="C30" s="19"/>
      <c r="D30" s="19"/>
      <c r="E30" s="19"/>
      <c r="F30" s="19"/>
      <c r="G30" s="19"/>
    </row>
    <row r="31" spans="2:8" x14ac:dyDescent="0.2">
      <c r="B31" s="7" t="s">
        <v>27</v>
      </c>
    </row>
    <row r="32" spans="2:8" x14ac:dyDescent="0.2">
      <c r="B32" s="18"/>
    </row>
    <row r="33" spans="2:2" x14ac:dyDescent="0.2">
      <c r="B33" s="7">
        <v>1990</v>
      </c>
    </row>
    <row r="34" spans="2:2" hidden="1" x14ac:dyDescent="0.2">
      <c r="B34" s="6" t="s">
        <v>7</v>
      </c>
    </row>
    <row r="35" spans="2:2" hidden="1" x14ac:dyDescent="0.2">
      <c r="B35" s="6" t="s">
        <v>8</v>
      </c>
    </row>
    <row r="36" spans="2:2" x14ac:dyDescent="0.2">
      <c r="B36" s="7">
        <v>1991</v>
      </c>
    </row>
    <row r="37" spans="2:2" hidden="1" x14ac:dyDescent="0.2">
      <c r="B37" s="6" t="s">
        <v>7</v>
      </c>
    </row>
    <row r="38" spans="2:2" hidden="1" x14ac:dyDescent="0.2">
      <c r="B38" s="6" t="s">
        <v>8</v>
      </c>
    </row>
    <row r="39" spans="2:2" ht="12.75" customHeight="1" x14ac:dyDescent="0.2">
      <c r="B39" s="7">
        <v>1992</v>
      </c>
    </row>
    <row r="40" spans="2:2" hidden="1" x14ac:dyDescent="0.2">
      <c r="B40" s="6" t="s">
        <v>7</v>
      </c>
    </row>
    <row r="41" spans="2:2" ht="12.75" hidden="1" customHeight="1" x14ac:dyDescent="0.2">
      <c r="B41" s="6" t="s">
        <v>8</v>
      </c>
    </row>
    <row r="42" spans="2:2" ht="13.5" customHeight="1" x14ac:dyDescent="0.2">
      <c r="B42" s="7">
        <v>1993</v>
      </c>
    </row>
    <row r="43" spans="2:2" hidden="1" x14ac:dyDescent="0.2">
      <c r="B43" s="6" t="s">
        <v>7</v>
      </c>
    </row>
    <row r="44" spans="2:2" hidden="1" x14ac:dyDescent="0.2">
      <c r="B44" s="6" t="s">
        <v>8</v>
      </c>
    </row>
    <row r="45" spans="2:2" x14ac:dyDescent="0.2">
      <c r="B45" s="7">
        <v>1994</v>
      </c>
    </row>
    <row r="46" spans="2:2" hidden="1" x14ac:dyDescent="0.2">
      <c r="B46" s="6" t="s">
        <v>7</v>
      </c>
    </row>
    <row r="47" spans="2:2" hidden="1" x14ac:dyDescent="0.2">
      <c r="B47" s="6" t="s">
        <v>8</v>
      </c>
    </row>
    <row r="48" spans="2:2" x14ac:dyDescent="0.2">
      <c r="B48" s="7">
        <v>1995</v>
      </c>
    </row>
    <row r="49" spans="2:2" hidden="1" x14ac:dyDescent="0.2">
      <c r="B49" s="6" t="s">
        <v>7</v>
      </c>
    </row>
    <row r="50" spans="2:2" hidden="1" x14ac:dyDescent="0.2">
      <c r="B50" s="6" t="s">
        <v>8</v>
      </c>
    </row>
    <row r="51" spans="2:2" x14ac:dyDescent="0.2">
      <c r="B51" s="7">
        <v>1996</v>
      </c>
    </row>
    <row r="52" spans="2:2" hidden="1" x14ac:dyDescent="0.2">
      <c r="B52" s="6" t="s">
        <v>7</v>
      </c>
    </row>
    <row r="53" spans="2:2" hidden="1" x14ac:dyDescent="0.2">
      <c r="B53" s="6" t="s">
        <v>8</v>
      </c>
    </row>
    <row r="55" spans="2:2" x14ac:dyDescent="0.2">
      <c r="B55" s="7" t="s">
        <v>28</v>
      </c>
    </row>
    <row r="57" spans="2:2" x14ac:dyDescent="0.2">
      <c r="B57" s="7" t="s">
        <v>29</v>
      </c>
    </row>
    <row r="58" spans="2:2" x14ac:dyDescent="0.2">
      <c r="B58" s="7" t="s">
        <v>30</v>
      </c>
    </row>
    <row r="60" spans="2:2" hidden="1" x14ac:dyDescent="0.2">
      <c r="B60" s="7">
        <v>1990</v>
      </c>
    </row>
    <row r="61" spans="2:2" hidden="1" x14ac:dyDescent="0.2">
      <c r="B61" s="7">
        <v>1991</v>
      </c>
    </row>
    <row r="62" spans="2:2" hidden="1" x14ac:dyDescent="0.2">
      <c r="B62" s="7">
        <v>1992</v>
      </c>
    </row>
    <row r="63" spans="2:2" hidden="1" x14ac:dyDescent="0.2">
      <c r="B63" s="7">
        <v>1993</v>
      </c>
    </row>
    <row r="64" spans="2:2" x14ac:dyDescent="0.2">
      <c r="B64" s="7">
        <v>1994</v>
      </c>
    </row>
    <row r="65" spans="2:2" x14ac:dyDescent="0.2">
      <c r="B65" s="7">
        <v>1995</v>
      </c>
    </row>
    <row r="66" spans="2:2" x14ac:dyDescent="0.2">
      <c r="B66" s="7">
        <v>1996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G30"/>
  <sheetViews>
    <sheetView workbookViewId="0">
      <selection activeCell="E14" sqref="E14"/>
    </sheetView>
  </sheetViews>
  <sheetFormatPr defaultRowHeight="12.75" x14ac:dyDescent="0.2"/>
  <cols>
    <col min="1" max="1" width="26.85546875" customWidth="1"/>
    <col min="2" max="2" width="9.42578125" customWidth="1"/>
  </cols>
  <sheetData>
    <row r="1" spans="1:7" ht="15.75" x14ac:dyDescent="0.25">
      <c r="A1" s="31" t="s">
        <v>31</v>
      </c>
      <c r="B1" s="31" t="s">
        <v>32</v>
      </c>
    </row>
    <row r="4" spans="1:7" x14ac:dyDescent="0.2">
      <c r="C4" s="9">
        <v>1996</v>
      </c>
      <c r="D4" s="9">
        <v>1997</v>
      </c>
      <c r="E4" s="9">
        <v>1998</v>
      </c>
      <c r="F4" s="9">
        <v>1999</v>
      </c>
      <c r="G4" s="9"/>
    </row>
    <row r="5" spans="1:7" x14ac:dyDescent="0.2">
      <c r="C5" s="19"/>
      <c r="D5" s="19"/>
      <c r="E5" s="19"/>
      <c r="F5" s="19"/>
      <c r="G5" s="19"/>
    </row>
    <row r="6" spans="1:7" x14ac:dyDescent="0.2">
      <c r="A6" s="7" t="s">
        <v>17</v>
      </c>
      <c r="C6" s="19"/>
      <c r="D6" s="19"/>
      <c r="E6" s="19"/>
      <c r="F6" s="19"/>
      <c r="G6" s="19"/>
    </row>
    <row r="7" spans="1:7" x14ac:dyDescent="0.2">
      <c r="A7" s="18" t="s">
        <v>33</v>
      </c>
      <c r="C7" s="19">
        <v>40</v>
      </c>
      <c r="D7" s="19"/>
      <c r="E7" s="19"/>
      <c r="F7" s="19"/>
      <c r="G7" s="19"/>
    </row>
    <row r="8" spans="1:7" x14ac:dyDescent="0.2">
      <c r="A8" s="18" t="s">
        <v>8</v>
      </c>
      <c r="C8" s="19">
        <v>117</v>
      </c>
      <c r="D8" s="19"/>
      <c r="E8" s="19"/>
      <c r="F8" s="19"/>
      <c r="G8" s="19"/>
    </row>
    <row r="9" spans="1:7" x14ac:dyDescent="0.2">
      <c r="C9" s="19"/>
      <c r="D9" s="19"/>
      <c r="E9" s="19"/>
      <c r="F9" s="19"/>
      <c r="G9" s="19"/>
    </row>
    <row r="10" spans="1:7" x14ac:dyDescent="0.2">
      <c r="C10" s="19"/>
      <c r="D10" s="19"/>
      <c r="E10" s="19"/>
      <c r="F10" s="19"/>
      <c r="G10" s="19"/>
    </row>
    <row r="12" spans="1:7" x14ac:dyDescent="0.2">
      <c r="A12" s="7" t="s">
        <v>34</v>
      </c>
      <c r="C12">
        <v>69</v>
      </c>
    </row>
    <row r="14" spans="1:7" x14ac:dyDescent="0.2">
      <c r="A14" s="7" t="s">
        <v>35</v>
      </c>
      <c r="C14">
        <v>65</v>
      </c>
    </row>
    <row r="16" spans="1:7" x14ac:dyDescent="0.2">
      <c r="A16" s="7" t="s">
        <v>36</v>
      </c>
      <c r="C16">
        <v>4</v>
      </c>
    </row>
    <row r="19" spans="1:3" x14ac:dyDescent="0.2">
      <c r="A19" s="7" t="s">
        <v>37</v>
      </c>
      <c r="C19">
        <v>77</v>
      </c>
    </row>
    <row r="21" spans="1:3" x14ac:dyDescent="0.2">
      <c r="A21" s="7" t="s">
        <v>35</v>
      </c>
      <c r="C21">
        <v>68</v>
      </c>
    </row>
    <row r="23" spans="1:3" x14ac:dyDescent="0.2">
      <c r="A23" s="7" t="s">
        <v>38</v>
      </c>
      <c r="C23">
        <v>9</v>
      </c>
    </row>
    <row r="24" spans="1:3" x14ac:dyDescent="0.2">
      <c r="A24" s="7"/>
    </row>
    <row r="26" spans="1:3" x14ac:dyDescent="0.2">
      <c r="A26" s="7" t="s">
        <v>39</v>
      </c>
      <c r="C26">
        <v>20</v>
      </c>
    </row>
    <row r="28" spans="1:3" x14ac:dyDescent="0.2">
      <c r="A28" s="7" t="s">
        <v>40</v>
      </c>
      <c r="C28">
        <v>13</v>
      </c>
    </row>
    <row r="30" spans="1:3" x14ac:dyDescent="0.2">
      <c r="A30" s="7" t="s">
        <v>41</v>
      </c>
      <c r="C30">
        <v>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FF00"/>
    <pageSetUpPr fitToPage="1"/>
  </sheetPr>
  <dimension ref="B4:AI85"/>
  <sheetViews>
    <sheetView view="pageBreakPreview" zoomScaleNormal="75" zoomScaleSheetLayoutView="75" workbookViewId="0">
      <pane xSplit="6" ySplit="12" topLeftCell="G16" activePane="bottomRight" state="frozen"/>
      <selection activeCell="P12" sqref="P12"/>
      <selection pane="topRight" activeCell="P12" sqref="P12"/>
      <selection pane="bottomLeft" activeCell="P12" sqref="P12"/>
      <selection pane="bottomRight" activeCell="C41" sqref="C41"/>
    </sheetView>
  </sheetViews>
  <sheetFormatPr defaultColWidth="9.140625" defaultRowHeight="12.75" outlineLevelRow="1" x14ac:dyDescent="0.2"/>
  <cols>
    <col min="1" max="1" width="4.28515625" style="117" customWidth="1"/>
    <col min="2" max="2" width="6.42578125" style="117" customWidth="1"/>
    <col min="3" max="3" width="33.28515625" style="117" customWidth="1"/>
    <col min="4" max="5" width="13" style="117" hidden="1" customWidth="1"/>
    <col min="6" max="6" width="11" style="117" hidden="1" customWidth="1"/>
    <col min="7" max="7" width="9.5703125" style="117" hidden="1" customWidth="1"/>
    <col min="8" max="8" width="0" style="117" hidden="1" customWidth="1"/>
    <col min="9" max="9" width="9.28515625" style="117" hidden="1" customWidth="1"/>
    <col min="10" max="10" width="7.85546875" style="117" hidden="1" customWidth="1"/>
    <col min="11" max="11" width="8.140625" style="117" hidden="1" customWidth="1"/>
    <col min="12" max="12" width="13.28515625" style="117" hidden="1" customWidth="1"/>
    <col min="13" max="13" width="0" style="118" hidden="1" customWidth="1"/>
    <col min="14" max="14" width="9.28515625" style="118" hidden="1" customWidth="1"/>
    <col min="15" max="15" width="9" style="117" hidden="1" customWidth="1"/>
    <col min="16" max="16" width="8.85546875" style="117" hidden="1" customWidth="1"/>
    <col min="17" max="17" width="9" style="117" hidden="1" customWidth="1"/>
    <col min="18" max="19" width="12.7109375" style="117" hidden="1" customWidth="1"/>
    <col min="20" max="24" width="12.7109375" style="117" customWidth="1"/>
    <col min="25" max="25" width="9.140625" style="117" customWidth="1"/>
    <col min="26" max="26" width="11.140625" style="117" customWidth="1"/>
    <col min="27" max="27" width="10.85546875" style="117" customWidth="1"/>
    <col min="28" max="16384" width="9.140625" style="117"/>
  </cols>
  <sheetData>
    <row r="4" spans="2:35" ht="16.5" x14ac:dyDescent="0.3">
      <c r="N4" s="602" t="s">
        <v>172</v>
      </c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153"/>
    </row>
    <row r="5" spans="2:35" ht="9" customHeigh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8" spans="2:35" s="119" customFormat="1" ht="15.75" x14ac:dyDescent="0.25">
      <c r="B8" s="161">
        <v>3.05</v>
      </c>
      <c r="C8" s="603" t="s">
        <v>213</v>
      </c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154"/>
    </row>
    <row r="9" spans="2:35" x14ac:dyDescent="0.2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3"/>
      <c r="N9" s="163"/>
      <c r="O9" s="162"/>
      <c r="P9" s="162"/>
      <c r="Q9" s="162"/>
      <c r="R9" s="162"/>
      <c r="S9" s="162"/>
      <c r="T9" s="162"/>
      <c r="U9" s="162"/>
      <c r="V9" s="162"/>
      <c r="W9" s="162"/>
      <c r="X9" s="162"/>
    </row>
    <row r="10" spans="2:35" ht="12.75" customHeight="1" x14ac:dyDescent="0.25">
      <c r="B10" s="162"/>
      <c r="C10" s="162"/>
      <c r="D10" s="164"/>
      <c r="E10" s="164"/>
      <c r="F10" s="164"/>
      <c r="G10" s="164"/>
      <c r="H10" s="164"/>
      <c r="I10" s="165"/>
      <c r="J10" s="165"/>
      <c r="K10" s="165"/>
      <c r="L10" s="162"/>
      <c r="M10" s="163"/>
      <c r="N10" s="163"/>
      <c r="O10" s="162"/>
      <c r="P10" s="162"/>
      <c r="Q10" s="162"/>
      <c r="R10" s="162"/>
      <c r="S10" s="162"/>
      <c r="T10" s="162"/>
      <c r="U10" s="162"/>
      <c r="V10" s="166"/>
      <c r="W10" s="166"/>
      <c r="X10" s="167" t="s">
        <v>139</v>
      </c>
      <c r="Y10" s="160"/>
    </row>
    <row r="11" spans="2:35" x14ac:dyDescent="0.2">
      <c r="B11" s="162"/>
      <c r="C11" s="168"/>
      <c r="D11" s="169">
        <v>1995</v>
      </c>
      <c r="E11" s="169">
        <v>1996</v>
      </c>
      <c r="F11" s="169">
        <v>1997</v>
      </c>
      <c r="G11" s="169">
        <v>1998</v>
      </c>
      <c r="H11" s="169">
        <v>1999</v>
      </c>
      <c r="I11" s="170">
        <f>H11+1</f>
        <v>2000</v>
      </c>
      <c r="J11" s="170">
        <f>I11+1</f>
        <v>2001</v>
      </c>
      <c r="K11" s="170">
        <f>J11+1</f>
        <v>2002</v>
      </c>
      <c r="L11" s="170">
        <f>K11+1</f>
        <v>2003</v>
      </c>
      <c r="M11" s="169">
        <v>2000</v>
      </c>
      <c r="N11" s="169">
        <v>2001</v>
      </c>
      <c r="O11" s="169">
        <v>2002</v>
      </c>
      <c r="P11" s="169">
        <v>2003</v>
      </c>
      <c r="Q11" s="169">
        <v>2004</v>
      </c>
      <c r="R11" s="169">
        <v>2005</v>
      </c>
      <c r="S11" s="169">
        <v>2006</v>
      </c>
      <c r="T11" s="169">
        <v>2007</v>
      </c>
      <c r="U11" s="169">
        <v>2008</v>
      </c>
      <c r="V11" s="171">
        <v>2009</v>
      </c>
      <c r="W11" s="172">
        <v>2010</v>
      </c>
      <c r="X11" s="172">
        <v>2011</v>
      </c>
      <c r="Y11" s="172">
        <v>2012</v>
      </c>
    </row>
    <row r="12" spans="2:35" x14ac:dyDescent="0.2">
      <c r="B12" s="162"/>
      <c r="C12" s="173" t="s">
        <v>16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5"/>
      <c r="N12" s="175"/>
      <c r="O12" s="174"/>
      <c r="P12" s="174"/>
      <c r="Q12" s="174"/>
      <c r="R12" s="174"/>
      <c r="S12" s="174"/>
      <c r="T12" s="174"/>
      <c r="U12" s="174"/>
      <c r="V12" s="174"/>
      <c r="W12" s="162"/>
      <c r="X12" s="162"/>
      <c r="Y12" s="162"/>
    </row>
    <row r="13" spans="2:35" x14ac:dyDescent="0.2">
      <c r="B13" s="162"/>
      <c r="C13" s="176"/>
      <c r="D13" s="174"/>
      <c r="E13" s="174"/>
      <c r="F13" s="174"/>
      <c r="G13" s="174"/>
      <c r="H13" s="174"/>
      <c r="I13" s="174"/>
      <c r="J13" s="174"/>
      <c r="K13" s="174"/>
      <c r="L13" s="174"/>
      <c r="M13" s="175"/>
      <c r="N13" s="175"/>
      <c r="O13" s="174"/>
      <c r="P13" s="174"/>
      <c r="Q13" s="174"/>
      <c r="R13" s="174"/>
      <c r="S13" s="174"/>
      <c r="T13" s="174"/>
      <c r="U13" s="174"/>
      <c r="V13" s="174"/>
      <c r="W13" s="162"/>
      <c r="X13" s="162"/>
      <c r="Y13" s="162"/>
      <c r="Z13" s="123"/>
    </row>
    <row r="14" spans="2:35" s="124" customFormat="1" ht="14.25" x14ac:dyDescent="0.2">
      <c r="B14" s="177"/>
      <c r="C14" s="178" t="s">
        <v>1</v>
      </c>
      <c r="D14" s="179">
        <f>D15+D16</f>
        <v>7042213.1500000004</v>
      </c>
      <c r="E14" s="179">
        <f>E15+E16</f>
        <v>6156703.4900000002</v>
      </c>
      <c r="F14" s="179">
        <f>F15+F16</f>
        <v>7033313.9800000004</v>
      </c>
      <c r="G14" s="180">
        <f t="shared" ref="G14:N14" si="0">SUM(G15:G16)</f>
        <v>7228.1</v>
      </c>
      <c r="H14" s="180">
        <f t="shared" si="0"/>
        <v>10720.038</v>
      </c>
      <c r="I14" s="180">
        <f t="shared" si="0"/>
        <v>0</v>
      </c>
      <c r="J14" s="180">
        <f t="shared" si="0"/>
        <v>0</v>
      </c>
      <c r="K14" s="180">
        <f t="shared" si="0"/>
        <v>0</v>
      </c>
      <c r="L14" s="180">
        <f t="shared" si="0"/>
        <v>0</v>
      </c>
      <c r="M14" s="180">
        <f t="shared" si="0"/>
        <v>10527.824000000001</v>
      </c>
      <c r="N14" s="181">
        <f t="shared" si="0"/>
        <v>11654.50908</v>
      </c>
      <c r="O14" s="181">
        <f>SUM(O15:O16)</f>
        <v>12171.915809999999</v>
      </c>
      <c r="P14" s="182" t="s">
        <v>112</v>
      </c>
      <c r="Q14" s="182" t="s">
        <v>112</v>
      </c>
      <c r="R14" s="183">
        <f t="shared" ref="R14:X14" si="1">SUM(R15:R16)</f>
        <v>16907.589749999999</v>
      </c>
      <c r="S14" s="184">
        <f t="shared" si="1"/>
        <v>24552.851999999999</v>
      </c>
      <c r="T14" s="184">
        <f t="shared" si="1"/>
        <v>27073.154999999999</v>
      </c>
      <c r="U14" s="184">
        <f t="shared" si="1"/>
        <v>30716.088000000003</v>
      </c>
      <c r="V14" s="184">
        <f t="shared" si="1"/>
        <v>31476.644</v>
      </c>
      <c r="W14" s="184">
        <f t="shared" si="1"/>
        <v>28806.389349999998</v>
      </c>
      <c r="X14" s="184">
        <f t="shared" si="1"/>
        <v>1515.3</v>
      </c>
      <c r="Y14" s="184"/>
      <c r="Z14" s="92"/>
    </row>
    <row r="15" spans="2:35" ht="14.25" x14ac:dyDescent="0.2">
      <c r="B15" s="162"/>
      <c r="C15" s="185" t="s">
        <v>4</v>
      </c>
      <c r="D15" s="175">
        <v>3931140</v>
      </c>
      <c r="E15" s="175">
        <v>3094373</v>
      </c>
      <c r="F15" s="175">
        <v>3614646</v>
      </c>
      <c r="G15" s="186">
        <v>3811.3</v>
      </c>
      <c r="H15" s="186">
        <f>5852301/1000</f>
        <v>5852.3010000000004</v>
      </c>
      <c r="I15" s="186"/>
      <c r="J15" s="186"/>
      <c r="K15" s="186"/>
      <c r="L15" s="186"/>
      <c r="M15" s="186">
        <v>6020</v>
      </c>
      <c r="N15" s="186">
        <f>6896896/1000</f>
        <v>6896.8959999999997</v>
      </c>
      <c r="O15" s="186">
        <f>6802288/1000</f>
        <v>6802.2879999999996</v>
      </c>
      <c r="P15" s="187" t="s">
        <v>112</v>
      </c>
      <c r="Q15" s="188">
        <f>8241300/1000</f>
        <v>8241.2999999999993</v>
      </c>
      <c r="R15" s="188">
        <f>13872700/1000</f>
        <v>13872.7</v>
      </c>
      <c r="S15" s="188">
        <f>14147083/1000</f>
        <v>14147.083000000001</v>
      </c>
      <c r="T15" s="189">
        <f>16655731/1000</f>
        <v>16655.731</v>
      </c>
      <c r="U15" s="190">
        <v>18598.900000000001</v>
      </c>
      <c r="V15" s="191">
        <v>18644.8</v>
      </c>
      <c r="W15" s="191">
        <v>17061</v>
      </c>
      <c r="X15" s="191"/>
      <c r="Y15" s="191"/>
      <c r="Z15" s="61"/>
      <c r="AC15" s="121">
        <f>(2809000/5129000)*100</f>
        <v>54.767011113277441</v>
      </c>
    </row>
    <row r="16" spans="2:35" x14ac:dyDescent="0.2">
      <c r="B16" s="162"/>
      <c r="C16" s="185" t="s">
        <v>5</v>
      </c>
      <c r="D16" s="175">
        <f>SUM(D17:D26)</f>
        <v>3111073.15</v>
      </c>
      <c r="E16" s="175">
        <f>SUM(E17:E26)</f>
        <v>3062330.4899999998</v>
      </c>
      <c r="F16" s="175">
        <f>SUM(F17:F26)</f>
        <v>3418667.98</v>
      </c>
      <c r="G16" s="192">
        <f>SUM(G17:G26)</f>
        <v>3416.7999999999997</v>
      </c>
      <c r="H16" s="192">
        <f>SUM(H17:H26)</f>
        <v>4867.7370000000001</v>
      </c>
      <c r="I16" s="193"/>
      <c r="J16" s="193"/>
      <c r="K16" s="193"/>
      <c r="L16" s="193"/>
      <c r="M16" s="192">
        <f t="shared" ref="M16:T16" si="2">SUM(M17:M26)</f>
        <v>4507.8239999999996</v>
      </c>
      <c r="N16" s="192">
        <f t="shared" si="2"/>
        <v>4757.6130800000001</v>
      </c>
      <c r="O16" s="192">
        <f t="shared" si="2"/>
        <v>5369.62781</v>
      </c>
      <c r="P16" s="194">
        <f t="shared" si="2"/>
        <v>4385.1428599999999</v>
      </c>
      <c r="Q16" s="194">
        <f t="shared" si="2"/>
        <v>1077.71811</v>
      </c>
      <c r="R16" s="194">
        <f t="shared" si="2"/>
        <v>3034.8897500000003</v>
      </c>
      <c r="S16" s="179">
        <f t="shared" si="2"/>
        <v>10405.769</v>
      </c>
      <c r="T16" s="194">
        <f t="shared" si="2"/>
        <v>10417.423999999999</v>
      </c>
      <c r="U16" s="195">
        <f>SUM(U17:U26)</f>
        <v>12117.188</v>
      </c>
      <c r="V16" s="195">
        <f>SUM(V17:V26)</f>
        <v>12831.843999999999</v>
      </c>
      <c r="W16" s="195">
        <f>SUM(W18:W26)</f>
        <v>11745.389349999999</v>
      </c>
      <c r="X16" s="195">
        <f>SUM(X18:X26)</f>
        <v>1515.3</v>
      </c>
      <c r="Y16" s="195"/>
      <c r="Z16" s="61"/>
    </row>
    <row r="17" spans="2:27" ht="14.25" x14ac:dyDescent="0.2">
      <c r="B17" s="162"/>
      <c r="C17" s="196" t="s">
        <v>81</v>
      </c>
      <c r="D17" s="175">
        <f>988390/2</f>
        <v>494195</v>
      </c>
      <c r="E17" s="175">
        <f>1040282/2</f>
        <v>520141</v>
      </c>
      <c r="F17" s="175">
        <v>1082080</v>
      </c>
      <c r="G17" s="186">
        <v>1132.0999999999999</v>
      </c>
      <c r="H17" s="186">
        <f>872437/1000</f>
        <v>872.43700000000001</v>
      </c>
      <c r="I17" s="175"/>
      <c r="J17" s="175"/>
      <c r="K17" s="175"/>
      <c r="L17" s="175"/>
      <c r="M17" s="182" t="s">
        <v>112</v>
      </c>
      <c r="N17" s="182" t="s">
        <v>112</v>
      </c>
      <c r="O17" s="182" t="s">
        <v>112</v>
      </c>
      <c r="P17" s="182" t="s">
        <v>112</v>
      </c>
      <c r="Q17" s="182" t="s">
        <v>112</v>
      </c>
      <c r="R17" s="182" t="s">
        <v>112</v>
      </c>
      <c r="S17" s="189">
        <f>1057126/1000</f>
        <v>1057.126</v>
      </c>
      <c r="T17" s="189">
        <f>1281784/1000</f>
        <v>1281.7840000000001</v>
      </c>
      <c r="U17" s="197">
        <f>710325/1000</f>
        <v>710.32500000000005</v>
      </c>
      <c r="V17" s="189">
        <f>826108/1000</f>
        <v>826.10799999999995</v>
      </c>
      <c r="W17" s="191">
        <v>709.2</v>
      </c>
      <c r="X17" s="191"/>
      <c r="Y17" s="191"/>
      <c r="Z17" s="61"/>
    </row>
    <row r="18" spans="2:27" ht="14.25" x14ac:dyDescent="0.2">
      <c r="B18" s="162"/>
      <c r="C18" s="196" t="s">
        <v>94</v>
      </c>
      <c r="D18" s="175">
        <v>615920</v>
      </c>
      <c r="E18" s="175">
        <v>615920</v>
      </c>
      <c r="F18" s="175">
        <v>770922</v>
      </c>
      <c r="G18" s="186">
        <v>756</v>
      </c>
      <c r="H18" s="186">
        <f>(955000*0.84)/1000</f>
        <v>802.2</v>
      </c>
      <c r="I18" s="175"/>
      <c r="J18" s="175"/>
      <c r="K18" s="175"/>
      <c r="L18" s="175"/>
      <c r="M18" s="186">
        <f>1147*0.84</f>
        <v>963.48</v>
      </c>
      <c r="N18" s="186">
        <f>(1132712/1000)*0.84</f>
        <v>951.47807999999998</v>
      </c>
      <c r="O18" s="186">
        <f>1533785.81/1000</f>
        <v>1533.7858100000001</v>
      </c>
      <c r="P18" s="186">
        <f>1531152.72/1000</f>
        <v>1531.15272</v>
      </c>
      <c r="Q18" s="182" t="s">
        <v>112</v>
      </c>
      <c r="R18" s="186">
        <f>1552176/1000</f>
        <v>1552.1759999999999</v>
      </c>
      <c r="S18" s="186">
        <f>1760474/1000</f>
        <v>1760.4739999999999</v>
      </c>
      <c r="T18" s="186">
        <f>2033051/1000</f>
        <v>2033.0509999999999</v>
      </c>
      <c r="U18" s="197">
        <f>2100514/1000</f>
        <v>2100.5140000000001</v>
      </c>
      <c r="V18" s="197">
        <f>2276490/1000</f>
        <v>2276.4899999999998</v>
      </c>
      <c r="W18" s="191">
        <v>2026.77035</v>
      </c>
      <c r="X18" s="191"/>
      <c r="Y18" s="191"/>
      <c r="Z18" s="61"/>
    </row>
    <row r="19" spans="2:27" ht="14.25" x14ac:dyDescent="0.2">
      <c r="B19" s="162"/>
      <c r="C19" s="196" t="s">
        <v>79</v>
      </c>
      <c r="D19" s="175">
        <v>570271.92000000004</v>
      </c>
      <c r="E19" s="175">
        <v>385498.34</v>
      </c>
      <c r="F19" s="175">
        <v>290031</v>
      </c>
      <c r="G19" s="182" t="s">
        <v>112</v>
      </c>
      <c r="H19" s="182" t="s">
        <v>112</v>
      </c>
      <c r="I19" s="175"/>
      <c r="J19" s="175"/>
      <c r="K19" s="175"/>
      <c r="L19" s="175"/>
      <c r="M19" s="186">
        <v>330</v>
      </c>
      <c r="N19" s="186">
        <f>373620/1000</f>
        <v>373.62</v>
      </c>
      <c r="O19" s="186">
        <f>427817/1000</f>
        <v>427.81700000000001</v>
      </c>
      <c r="P19" s="186">
        <f>375140.65/1000</f>
        <v>375.14065000000005</v>
      </c>
      <c r="Q19" s="182" t="s">
        <v>112</v>
      </c>
      <c r="R19" s="182" t="s">
        <v>112</v>
      </c>
      <c r="S19" s="189">
        <f>539000/1000</f>
        <v>539</v>
      </c>
      <c r="T19" s="189">
        <f>473000/1000</f>
        <v>473</v>
      </c>
      <c r="U19" s="197">
        <f>355000/1000</f>
        <v>355</v>
      </c>
      <c r="V19" s="197">
        <f>372722/1000</f>
        <v>372.72199999999998</v>
      </c>
      <c r="W19" s="191">
        <v>514.17462</v>
      </c>
      <c r="X19" s="191"/>
      <c r="Y19" s="191"/>
    </row>
    <row r="20" spans="2:27" ht="14.25" x14ac:dyDescent="0.2">
      <c r="B20" s="162"/>
      <c r="C20" s="196" t="s">
        <v>218</v>
      </c>
      <c r="D20" s="175"/>
      <c r="E20" s="175"/>
      <c r="F20" s="175"/>
      <c r="G20" s="182"/>
      <c r="H20" s="182"/>
      <c r="I20" s="175"/>
      <c r="J20" s="175"/>
      <c r="K20" s="175"/>
      <c r="L20" s="175"/>
      <c r="M20" s="186"/>
      <c r="N20" s="186"/>
      <c r="O20" s="186"/>
      <c r="P20" s="186"/>
      <c r="Q20" s="182"/>
      <c r="R20" s="182"/>
      <c r="S20" s="189"/>
      <c r="T20" s="189"/>
      <c r="U20" s="197"/>
      <c r="V20" s="197"/>
      <c r="W20" s="191"/>
      <c r="X20" s="191"/>
      <c r="Y20" s="191"/>
    </row>
    <row r="21" spans="2:27" ht="14.25" x14ac:dyDescent="0.2">
      <c r="B21" s="162"/>
      <c r="C21" s="196" t="s">
        <v>216</v>
      </c>
      <c r="D21" s="175"/>
      <c r="E21" s="175"/>
      <c r="F21" s="175"/>
      <c r="G21" s="182"/>
      <c r="H21" s="182"/>
      <c r="I21" s="175"/>
      <c r="J21" s="175"/>
      <c r="K21" s="175"/>
      <c r="L21" s="175"/>
      <c r="M21" s="186"/>
      <c r="N21" s="186"/>
      <c r="O21" s="186"/>
      <c r="P21" s="186"/>
      <c r="Q21" s="182"/>
      <c r="R21" s="182"/>
      <c r="S21" s="189"/>
      <c r="T21" s="189"/>
      <c r="U21" s="197"/>
      <c r="V21" s="197"/>
      <c r="W21" s="191"/>
      <c r="X21" s="191"/>
      <c r="Y21" s="191"/>
    </row>
    <row r="22" spans="2:27" ht="14.25" x14ac:dyDescent="0.2">
      <c r="B22" s="162"/>
      <c r="C22" s="196" t="s">
        <v>217</v>
      </c>
      <c r="D22" s="175"/>
      <c r="E22" s="175"/>
      <c r="F22" s="175"/>
      <c r="G22" s="182"/>
      <c r="H22" s="182"/>
      <c r="I22" s="175"/>
      <c r="J22" s="175"/>
      <c r="K22" s="175"/>
      <c r="L22" s="175"/>
      <c r="M22" s="186"/>
      <c r="N22" s="186"/>
      <c r="O22" s="186"/>
      <c r="P22" s="186"/>
      <c r="Q22" s="182"/>
      <c r="R22" s="182"/>
      <c r="S22" s="189"/>
      <c r="T22" s="189"/>
      <c r="U22" s="197"/>
      <c r="V22" s="197"/>
      <c r="W22" s="191"/>
      <c r="X22" s="191"/>
      <c r="Y22" s="191"/>
    </row>
    <row r="23" spans="2:27" x14ac:dyDescent="0.2">
      <c r="B23" s="162"/>
      <c r="C23" s="196" t="s">
        <v>80</v>
      </c>
      <c r="D23" s="175">
        <v>376290</v>
      </c>
      <c r="E23" s="175">
        <v>378116</v>
      </c>
      <c r="F23" s="175">
        <v>36964</v>
      </c>
      <c r="G23" s="189">
        <v>416.2</v>
      </c>
      <c r="H23" s="189">
        <v>397.3</v>
      </c>
      <c r="I23" s="198"/>
      <c r="J23" s="198"/>
      <c r="K23" s="198"/>
      <c r="L23" s="198"/>
      <c r="M23" s="189">
        <v>444.4</v>
      </c>
      <c r="N23" s="189">
        <f>468671/1000</f>
        <v>468.67099999999999</v>
      </c>
      <c r="O23" s="189">
        <f>466639/1000</f>
        <v>466.63900000000001</v>
      </c>
      <c r="P23" s="189">
        <f>440183.49/1000</f>
        <v>440.18349000000001</v>
      </c>
      <c r="Q23" s="189">
        <f>440680/1000</f>
        <v>440.68</v>
      </c>
      <c r="R23" s="189">
        <f>449546/1000</f>
        <v>449.54599999999999</v>
      </c>
      <c r="S23" s="189">
        <f>501627/1000</f>
        <v>501.62700000000001</v>
      </c>
      <c r="T23" s="189">
        <f>532415/1000</f>
        <v>532.41499999999996</v>
      </c>
      <c r="U23" s="197">
        <f>606746/1000</f>
        <v>606.74599999999998</v>
      </c>
      <c r="V23" s="199">
        <f>609509/1000</f>
        <v>609.50900000000001</v>
      </c>
      <c r="W23" s="200">
        <v>625.85</v>
      </c>
      <c r="X23" s="200"/>
      <c r="Y23" s="200"/>
    </row>
    <row r="24" spans="2:27" ht="14.25" x14ac:dyDescent="0.2">
      <c r="B24" s="162"/>
      <c r="C24" s="196" t="s">
        <v>114</v>
      </c>
      <c r="D24" s="175">
        <v>816552</v>
      </c>
      <c r="E24" s="175">
        <v>928409</v>
      </c>
      <c r="F24" s="175">
        <v>1013911</v>
      </c>
      <c r="G24" s="189">
        <v>756</v>
      </c>
      <c r="H24" s="189">
        <v>955</v>
      </c>
      <c r="I24" s="198"/>
      <c r="J24" s="198"/>
      <c r="K24" s="198"/>
      <c r="L24" s="198"/>
      <c r="M24" s="189">
        <f>(1849066/2)/1000</f>
        <v>924.53300000000002</v>
      </c>
      <c r="N24" s="189">
        <f>(2152734/2)/1000</f>
        <v>1076.367</v>
      </c>
      <c r="O24" s="189">
        <f>1175550/1000</f>
        <v>1175.55</v>
      </c>
      <c r="P24" s="201" t="s">
        <v>108</v>
      </c>
      <c r="Q24" s="201" t="s">
        <v>108</v>
      </c>
      <c r="R24" s="201" t="s">
        <v>108</v>
      </c>
      <c r="S24" s="202">
        <f>4217000/1000</f>
        <v>4217</v>
      </c>
      <c r="T24" s="202">
        <f>4914000/1000</f>
        <v>4914</v>
      </c>
      <c r="U24" s="202">
        <f>5129000/1000</f>
        <v>5129</v>
      </c>
      <c r="V24" s="189">
        <v>5567</v>
      </c>
      <c r="W24" s="189">
        <v>6176</v>
      </c>
      <c r="X24" s="189"/>
      <c r="Y24" s="189"/>
    </row>
    <row r="25" spans="2:27" ht="15" x14ac:dyDescent="0.25">
      <c r="B25" s="162"/>
      <c r="C25" s="196" t="s">
        <v>82</v>
      </c>
      <c r="D25" s="175"/>
      <c r="E25" s="175"/>
      <c r="F25" s="175"/>
      <c r="G25" s="189">
        <v>110.2</v>
      </c>
      <c r="H25" s="189">
        <v>1550.6</v>
      </c>
      <c r="I25" s="198"/>
      <c r="J25" s="198"/>
      <c r="K25" s="198"/>
      <c r="L25" s="198"/>
      <c r="M25" s="189">
        <f>1545711/1000</f>
        <v>1545.711</v>
      </c>
      <c r="N25" s="189">
        <f>1482464/1000</f>
        <v>1482.4639999999999</v>
      </c>
      <c r="O25" s="189">
        <f>1333073/1000</f>
        <v>1333.0730000000001</v>
      </c>
      <c r="P25" s="189">
        <f>1583379/1000</f>
        <v>1583.3789999999999</v>
      </c>
      <c r="Q25" s="201" t="s">
        <v>108</v>
      </c>
      <c r="R25" s="201" t="s">
        <v>108</v>
      </c>
      <c r="S25" s="189">
        <f>1322639/1000</f>
        <v>1322.6389999999999</v>
      </c>
      <c r="T25" s="201" t="s">
        <v>108</v>
      </c>
      <c r="U25" s="203">
        <f>1691012/1000</f>
        <v>1691.0119999999999</v>
      </c>
      <c r="V25" s="203">
        <f>1798606/1000</f>
        <v>1798.606</v>
      </c>
      <c r="W25" s="191">
        <v>1715.912</v>
      </c>
      <c r="X25" s="204">
        <v>1515.3</v>
      </c>
      <c r="Y25" s="204"/>
    </row>
    <row r="26" spans="2:27" x14ac:dyDescent="0.2">
      <c r="B26" s="162"/>
      <c r="C26" s="196" t="s">
        <v>95</v>
      </c>
      <c r="D26" s="175">
        <v>237844.23</v>
      </c>
      <c r="E26" s="175">
        <v>234246.15</v>
      </c>
      <c r="F26" s="175">
        <v>224759.98</v>
      </c>
      <c r="G26" s="189">
        <v>246.3</v>
      </c>
      <c r="H26" s="189">
        <v>290.2</v>
      </c>
      <c r="I26" s="198"/>
      <c r="J26" s="198"/>
      <c r="K26" s="198"/>
      <c r="L26" s="198"/>
      <c r="M26" s="189">
        <v>299.7</v>
      </c>
      <c r="N26" s="189">
        <f>405013/1000</f>
        <v>405.01299999999998</v>
      </c>
      <c r="O26" s="189">
        <f>432763/1000</f>
        <v>432.76299999999998</v>
      </c>
      <c r="P26" s="189">
        <f>455287/1000</f>
        <v>455.28699999999998</v>
      </c>
      <c r="Q26" s="189">
        <f>637038.11/1000</f>
        <v>637.03810999999996</v>
      </c>
      <c r="R26" s="189">
        <f>1033167.75/1000</f>
        <v>1033.1677500000001</v>
      </c>
      <c r="S26" s="189">
        <f>1007903/1000</f>
        <v>1007.903</v>
      </c>
      <c r="T26" s="189">
        <f>1183174/1000</f>
        <v>1183.174</v>
      </c>
      <c r="U26" s="203">
        <f>1524591/1000</f>
        <v>1524.5909999999999</v>
      </c>
      <c r="V26" s="203">
        <f>1381409/1000</f>
        <v>1381.4090000000001</v>
      </c>
      <c r="W26" s="191">
        <v>686.68237999999997</v>
      </c>
      <c r="X26" s="191"/>
      <c r="Y26" s="191"/>
      <c r="Z26" s="127"/>
      <c r="AA26" s="127"/>
    </row>
    <row r="27" spans="2:27" x14ac:dyDescent="0.2">
      <c r="B27" s="162"/>
      <c r="C27" s="205"/>
      <c r="D27" s="206"/>
      <c r="E27" s="207"/>
      <c r="F27" s="207"/>
      <c r="G27" s="208"/>
      <c r="H27" s="209"/>
      <c r="I27" s="208"/>
      <c r="J27" s="208"/>
      <c r="K27" s="208"/>
      <c r="L27" s="208"/>
      <c r="M27" s="209"/>
      <c r="N27" s="209"/>
      <c r="O27" s="209"/>
      <c r="P27" s="208"/>
      <c r="Q27" s="205"/>
      <c r="R27" s="205"/>
      <c r="S27" s="205"/>
      <c r="T27" s="198"/>
      <c r="U27" s="210"/>
      <c r="V27" s="162"/>
      <c r="W27" s="191"/>
      <c r="X27" s="191"/>
      <c r="Y27" s="191"/>
    </row>
    <row r="28" spans="2:27" x14ac:dyDescent="0.2">
      <c r="B28" s="162"/>
      <c r="C28" s="178" t="s">
        <v>2</v>
      </c>
      <c r="D28" s="179">
        <f t="shared" ref="D28:L28" si="3">D29+D30</f>
        <v>6779211</v>
      </c>
      <c r="E28" s="179">
        <f t="shared" si="3"/>
        <v>6772238</v>
      </c>
      <c r="F28" s="179">
        <f t="shared" si="3"/>
        <v>6552612</v>
      </c>
      <c r="G28" s="211">
        <f>G29+G30</f>
        <v>6632.9840000000004</v>
      </c>
      <c r="H28" s="211">
        <f t="shared" si="3"/>
        <v>10038.087</v>
      </c>
      <c r="I28" s="211" t="e">
        <f t="shared" si="3"/>
        <v>#REF!</v>
      </c>
      <c r="J28" s="211" t="e">
        <f t="shared" si="3"/>
        <v>#REF!</v>
      </c>
      <c r="K28" s="211" t="e">
        <f t="shared" si="3"/>
        <v>#REF!</v>
      </c>
      <c r="L28" s="211">
        <f t="shared" si="3"/>
        <v>0</v>
      </c>
      <c r="M28" s="211">
        <f>M29+M30</f>
        <v>9930.4749999999985</v>
      </c>
      <c r="N28" s="211">
        <f>N29+N30</f>
        <v>11255.095079999999</v>
      </c>
      <c r="O28" s="211">
        <f>O29+S2619</f>
        <v>9776.3389999999999</v>
      </c>
      <c r="P28" s="211">
        <f>P30</f>
        <v>1614.73794</v>
      </c>
      <c r="Q28" s="211">
        <f>(Q29)</f>
        <v>10749.148999999999</v>
      </c>
      <c r="R28" s="211">
        <f>(R29)</f>
        <v>17998.346000000001</v>
      </c>
      <c r="S28" s="211">
        <f t="shared" ref="S28:X28" si="4">SUM(S29:S30)</f>
        <v>22207.853999999999</v>
      </c>
      <c r="T28" s="211">
        <f t="shared" si="4"/>
        <v>23954.764999999999</v>
      </c>
      <c r="U28" s="211">
        <f t="shared" si="4"/>
        <v>25185.317999999999</v>
      </c>
      <c r="V28" s="212">
        <f t="shared" si="4"/>
        <v>24486.563000000002</v>
      </c>
      <c r="W28" s="183">
        <f t="shared" si="4"/>
        <v>24213.053460000003</v>
      </c>
      <c r="X28" s="183">
        <f t="shared" si="4"/>
        <v>0</v>
      </c>
      <c r="Y28" s="183"/>
    </row>
    <row r="29" spans="2:27" ht="14.25" x14ac:dyDescent="0.2">
      <c r="B29" s="162"/>
      <c r="C29" s="185" t="s">
        <v>4</v>
      </c>
      <c r="D29" s="175">
        <f>3284244+2581772</f>
        <v>5866016</v>
      </c>
      <c r="E29" s="175">
        <f>3609120+2223826</f>
        <v>5832946</v>
      </c>
      <c r="F29" s="175">
        <f>3340604+1944306</f>
        <v>5284910</v>
      </c>
      <c r="G29" s="198">
        <f>(3476028+2006737)/1000</f>
        <v>5482.7650000000003</v>
      </c>
      <c r="H29" s="189">
        <f>(4699089+4001625)/1000</f>
        <v>8700.7139999999999</v>
      </c>
      <c r="I29" s="198" t="e">
        <f>SUM(#REF!)</f>
        <v>#REF!</v>
      </c>
      <c r="J29" s="198" t="e">
        <f>SUM(#REF!)</f>
        <v>#REF!</v>
      </c>
      <c r="K29" s="198" t="e">
        <f>SUM(#REF!)</f>
        <v>#REF!</v>
      </c>
      <c r="L29" s="198"/>
      <c r="M29" s="189">
        <f>(4798054+4082781)/1000</f>
        <v>8880.8349999999991</v>
      </c>
      <c r="N29" s="189">
        <f>(5501338+4543930)/1000</f>
        <v>10045.268</v>
      </c>
      <c r="O29" s="189">
        <f>9776339/1000</f>
        <v>9776.3389999999999</v>
      </c>
      <c r="P29" s="182" t="s">
        <v>112</v>
      </c>
      <c r="Q29" s="189">
        <f>10749149/1000</f>
        <v>10749.148999999999</v>
      </c>
      <c r="R29" s="189">
        <f>17998346/1000</f>
        <v>17998.346000000001</v>
      </c>
      <c r="S29" s="189">
        <f>18583448/1000</f>
        <v>18583.448</v>
      </c>
      <c r="T29" s="213">
        <f>20310889/1000</f>
        <v>20310.888999999999</v>
      </c>
      <c r="U29" s="214">
        <v>21606.3</v>
      </c>
      <c r="V29" s="191">
        <v>20820.2</v>
      </c>
      <c r="W29" s="191">
        <v>19431.400000000001</v>
      </c>
      <c r="X29" s="191"/>
      <c r="Y29" s="191"/>
    </row>
    <row r="30" spans="2:27" ht="14.25" x14ac:dyDescent="0.2">
      <c r="B30" s="162"/>
      <c r="C30" s="185" t="s">
        <v>5</v>
      </c>
      <c r="D30" s="175">
        <f t="shared" ref="D30:L30" si="5">SUM(D31:D35)</f>
        <v>913195</v>
      </c>
      <c r="E30" s="175">
        <f t="shared" si="5"/>
        <v>939292</v>
      </c>
      <c r="F30" s="175">
        <f t="shared" si="5"/>
        <v>1267702</v>
      </c>
      <c r="G30" s="198">
        <f>SUM(G31:G35)</f>
        <v>1150.2190000000001</v>
      </c>
      <c r="H30" s="189">
        <f t="shared" si="5"/>
        <v>1337.373</v>
      </c>
      <c r="I30" s="198">
        <f t="shared" si="5"/>
        <v>0</v>
      </c>
      <c r="J30" s="198">
        <f t="shared" si="5"/>
        <v>0</v>
      </c>
      <c r="K30" s="198">
        <f t="shared" si="5"/>
        <v>0</v>
      </c>
      <c r="L30" s="198">
        <f t="shared" si="5"/>
        <v>0</v>
      </c>
      <c r="M30" s="198">
        <f>SUM(M31:M35)</f>
        <v>1049.6399999999999</v>
      </c>
      <c r="N30" s="189">
        <f>SUM(N31:N35)</f>
        <v>1209.82708</v>
      </c>
      <c r="O30" s="198">
        <f>SUM(O31:O35)</f>
        <v>1537.0638700000002</v>
      </c>
      <c r="P30" s="189">
        <f>SUM(P31:P35)</f>
        <v>1614.73794</v>
      </c>
      <c r="Q30" s="182" t="s">
        <v>112</v>
      </c>
      <c r="R30" s="182" t="s">
        <v>112</v>
      </c>
      <c r="S30" s="215">
        <f t="shared" ref="S30:X30" si="6">SUM(S31:S35)</f>
        <v>3624.4060000000004</v>
      </c>
      <c r="T30" s="215">
        <f t="shared" si="6"/>
        <v>3643.8759999999997</v>
      </c>
      <c r="U30" s="216">
        <f t="shared" si="6"/>
        <v>3579.018</v>
      </c>
      <c r="V30" s="217">
        <f t="shared" si="6"/>
        <v>3666.3629999999998</v>
      </c>
      <c r="W30" s="183">
        <f t="shared" si="6"/>
        <v>4781.6534599999995</v>
      </c>
      <c r="X30" s="183">
        <f t="shared" si="6"/>
        <v>0</v>
      </c>
      <c r="Y30" s="183"/>
    </row>
    <row r="31" spans="2:27" ht="14.25" x14ac:dyDescent="0.2">
      <c r="B31" s="162"/>
      <c r="C31" s="196" t="s">
        <v>81</v>
      </c>
      <c r="D31" s="175">
        <v>494195</v>
      </c>
      <c r="E31" s="175">
        <v>520141</v>
      </c>
      <c r="F31" s="175">
        <v>577435</v>
      </c>
      <c r="G31" s="189">
        <f>583219/1000</f>
        <v>583.21900000000005</v>
      </c>
      <c r="H31" s="189">
        <f>535173/1000</f>
        <v>535.173</v>
      </c>
      <c r="I31" s="218"/>
      <c r="J31" s="218"/>
      <c r="K31" s="218"/>
      <c r="L31" s="198"/>
      <c r="M31" s="182" t="s">
        <v>143</v>
      </c>
      <c r="N31" s="182" t="s">
        <v>143</v>
      </c>
      <c r="O31" s="182" t="s">
        <v>143</v>
      </c>
      <c r="P31" s="182" t="s">
        <v>143</v>
      </c>
      <c r="Q31" s="182" t="s">
        <v>112</v>
      </c>
      <c r="R31" s="182" t="s">
        <v>112</v>
      </c>
      <c r="S31" s="219">
        <f>1175314/1000</f>
        <v>1175.3140000000001</v>
      </c>
      <c r="T31" s="219">
        <f>954520/1000</f>
        <v>954.52</v>
      </c>
      <c r="U31" s="220">
        <f>529335/1000</f>
        <v>529.33500000000004</v>
      </c>
      <c r="V31" s="221">
        <f>615617/1000</f>
        <v>615.61699999999996</v>
      </c>
      <c r="W31" s="191">
        <v>866.9</v>
      </c>
      <c r="X31" s="191">
        <v>0</v>
      </c>
      <c r="Y31" s="191"/>
    </row>
    <row r="32" spans="2:27" ht="14.25" x14ac:dyDescent="0.2">
      <c r="B32" s="162"/>
      <c r="C32" s="196" t="s">
        <v>94</v>
      </c>
      <c r="D32" s="175">
        <v>419000</v>
      </c>
      <c r="E32" s="175">
        <v>419151</v>
      </c>
      <c r="F32" s="175">
        <v>554920</v>
      </c>
      <c r="G32" s="189">
        <f>(675000*0.84)/1000</f>
        <v>567</v>
      </c>
      <c r="H32" s="189">
        <f>(955000*0.84)/1000</f>
        <v>802.2</v>
      </c>
      <c r="I32" s="218"/>
      <c r="J32" s="218"/>
      <c r="K32" s="218"/>
      <c r="L32" s="198"/>
      <c r="M32" s="189">
        <f>(1013000*0.84)/1000</f>
        <v>850.92</v>
      </c>
      <c r="N32" s="189">
        <f>(1177662*0.84)/1000</f>
        <v>989.2360799999999</v>
      </c>
      <c r="O32" s="198">
        <f>1308893.87/1000</f>
        <v>1308.8938700000001</v>
      </c>
      <c r="P32" s="189">
        <f>1384813.03/1000</f>
        <v>1384.81303</v>
      </c>
      <c r="Q32" s="182" t="s">
        <v>112</v>
      </c>
      <c r="R32" s="189">
        <f>2280540/1000</f>
        <v>2280.54</v>
      </c>
      <c r="S32" s="219">
        <f>2136308/1000</f>
        <v>2136.308</v>
      </c>
      <c r="T32" s="219">
        <f>2456037/1000</f>
        <v>2456.0369999999998</v>
      </c>
      <c r="U32" s="222">
        <f>2834420/1000</f>
        <v>2834.42</v>
      </c>
      <c r="V32" s="223">
        <f>2817427/1000</f>
        <v>2817.4270000000001</v>
      </c>
      <c r="W32" s="191">
        <v>2872.5669199999998</v>
      </c>
      <c r="X32" s="191">
        <v>0</v>
      </c>
      <c r="Y32" s="191"/>
    </row>
    <row r="33" spans="2:25" ht="14.25" x14ac:dyDescent="0.2">
      <c r="B33" s="162"/>
      <c r="C33" s="196" t="s">
        <v>79</v>
      </c>
      <c r="D33" s="224" t="s">
        <v>78</v>
      </c>
      <c r="E33" s="224" t="s">
        <v>78</v>
      </c>
      <c r="F33" s="175">
        <v>135347</v>
      </c>
      <c r="G33" s="201"/>
      <c r="H33" s="218" t="s">
        <v>78</v>
      </c>
      <c r="I33" s="218"/>
      <c r="J33" s="218"/>
      <c r="K33" s="218"/>
      <c r="L33" s="198"/>
      <c r="M33" s="189">
        <f>198720/1000</f>
        <v>198.72</v>
      </c>
      <c r="N33" s="189">
        <f>(220591)/1000</f>
        <v>220.59100000000001</v>
      </c>
      <c r="O33" s="189">
        <f>228170/1000</f>
        <v>228.17</v>
      </c>
      <c r="P33" s="189">
        <f>229924.91/1000</f>
        <v>229.92491000000001</v>
      </c>
      <c r="Q33" s="182" t="s">
        <v>112</v>
      </c>
      <c r="R33" s="182" t="s">
        <v>112</v>
      </c>
      <c r="S33" s="219">
        <f>312784/1000</f>
        <v>312.78399999999999</v>
      </c>
      <c r="T33" s="219">
        <f>233319/1000</f>
        <v>233.31899999999999</v>
      </c>
      <c r="U33" s="222">
        <f>215263/1000</f>
        <v>215.26300000000001</v>
      </c>
      <c r="V33" s="223">
        <f>T33</f>
        <v>233.31899999999999</v>
      </c>
      <c r="W33" s="191">
        <v>285.65249</v>
      </c>
      <c r="X33" s="191">
        <v>0</v>
      </c>
      <c r="Y33" s="191"/>
    </row>
    <row r="34" spans="2:25" ht="12.75" customHeight="1" x14ac:dyDescent="0.2">
      <c r="B34" s="162"/>
      <c r="C34" s="225" t="s">
        <v>95</v>
      </c>
      <c r="D34" s="224"/>
      <c r="E34" s="175"/>
      <c r="F34" s="175"/>
      <c r="G34" s="189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201" t="s">
        <v>108</v>
      </c>
      <c r="T34" s="201" t="s">
        <v>108</v>
      </c>
      <c r="U34" s="201" t="s">
        <v>108</v>
      </c>
      <c r="V34" s="201" t="s">
        <v>108</v>
      </c>
      <c r="W34" s="191">
        <v>756.53405000000009</v>
      </c>
      <c r="X34" s="191">
        <v>0</v>
      </c>
      <c r="Y34" s="191"/>
    </row>
    <row r="35" spans="2:25" ht="14.25" x14ac:dyDescent="0.2">
      <c r="B35" s="162"/>
      <c r="C35" s="196" t="s">
        <v>218</v>
      </c>
      <c r="D35" s="224"/>
      <c r="E35" s="224"/>
      <c r="F35" s="175"/>
      <c r="G35" s="189"/>
      <c r="H35" s="189"/>
      <c r="I35" s="198"/>
      <c r="J35" s="198"/>
      <c r="K35" s="198"/>
      <c r="L35" s="198"/>
      <c r="M35" s="189"/>
      <c r="N35" s="198"/>
      <c r="O35" s="189"/>
      <c r="P35" s="182"/>
      <c r="Q35" s="182"/>
      <c r="R35" s="182"/>
      <c r="S35" s="226"/>
      <c r="T35" s="226"/>
      <c r="U35" s="226"/>
      <c r="V35" s="223"/>
      <c r="W35" s="223"/>
      <c r="X35" s="223"/>
      <c r="Y35" s="223"/>
    </row>
    <row r="36" spans="2:25" x14ac:dyDescent="0.2">
      <c r="B36" s="162"/>
      <c r="C36" s="227" t="s">
        <v>217</v>
      </c>
      <c r="D36" s="174"/>
      <c r="E36" s="174"/>
      <c r="F36" s="174"/>
      <c r="G36" s="205"/>
      <c r="H36" s="228"/>
      <c r="I36" s="228"/>
      <c r="J36" s="228"/>
      <c r="K36" s="228"/>
      <c r="L36" s="208"/>
      <c r="M36" s="209"/>
      <c r="N36" s="209"/>
      <c r="O36" s="209"/>
      <c r="P36" s="208"/>
      <c r="Q36" s="205"/>
      <c r="R36" s="205"/>
      <c r="S36" s="229"/>
      <c r="T36" s="219"/>
      <c r="U36" s="230"/>
      <c r="V36" s="223"/>
      <c r="W36" s="223"/>
      <c r="X36" s="223"/>
      <c r="Y36" s="223"/>
    </row>
    <row r="37" spans="2:25" x14ac:dyDescent="0.2">
      <c r="B37" s="162"/>
      <c r="C37" s="227" t="s">
        <v>216</v>
      </c>
      <c r="D37" s="174"/>
      <c r="E37" s="174"/>
      <c r="F37" s="174"/>
      <c r="G37" s="205"/>
      <c r="H37" s="228"/>
      <c r="I37" s="228"/>
      <c r="J37" s="228"/>
      <c r="K37" s="228"/>
      <c r="L37" s="208"/>
      <c r="M37" s="209"/>
      <c r="N37" s="209"/>
      <c r="O37" s="209"/>
      <c r="P37" s="208"/>
      <c r="Q37" s="205"/>
      <c r="R37" s="205"/>
      <c r="S37" s="229"/>
      <c r="T37" s="219"/>
      <c r="U37" s="230"/>
      <c r="V37" s="223"/>
      <c r="W37" s="223"/>
      <c r="X37" s="223"/>
      <c r="Y37" s="223"/>
    </row>
    <row r="38" spans="2:25" x14ac:dyDescent="0.2">
      <c r="B38" s="162"/>
      <c r="C38" s="276"/>
      <c r="D38" s="207"/>
      <c r="E38" s="207"/>
      <c r="F38" s="207"/>
      <c r="G38" s="208"/>
      <c r="H38" s="208"/>
      <c r="I38" s="208"/>
      <c r="J38" s="208"/>
      <c r="K38" s="208"/>
      <c r="L38" s="208"/>
      <c r="M38" s="209"/>
      <c r="N38" s="209"/>
      <c r="O38" s="209"/>
      <c r="P38" s="208"/>
      <c r="Q38" s="205"/>
      <c r="R38" s="205"/>
      <c r="S38" s="229"/>
      <c r="T38" s="219"/>
      <c r="U38" s="230"/>
      <c r="V38" s="223"/>
      <c r="W38" s="223"/>
      <c r="X38" s="223"/>
      <c r="Y38" s="223"/>
    </row>
    <row r="39" spans="2:25" x14ac:dyDescent="0.2">
      <c r="B39" s="162"/>
      <c r="C39" s="178" t="s">
        <v>14</v>
      </c>
      <c r="D39" s="179">
        <f>487117+98117+334736</f>
        <v>919970</v>
      </c>
      <c r="E39" s="179">
        <f>480134+160570+254455</f>
        <v>895159</v>
      </c>
      <c r="F39" s="179">
        <f>467085+89806+296847</f>
        <v>853738</v>
      </c>
      <c r="G39" s="211">
        <f>(488495+89476+327693)/1000</f>
        <v>905.66399999999999</v>
      </c>
      <c r="H39" s="211">
        <f>(723036+178356+582522)/1000</f>
        <v>1483.914</v>
      </c>
      <c r="I39" s="231"/>
      <c r="J39" s="231"/>
      <c r="K39" s="231"/>
      <c r="L39" s="231"/>
      <c r="M39" s="211">
        <f>(758325+238346+542525)/1000</f>
        <v>1539.1959999999999</v>
      </c>
      <c r="N39" s="211">
        <f>(1034993+273114+477626)/1000</f>
        <v>1785.7329999999999</v>
      </c>
      <c r="O39" s="211">
        <f>1757868/1000</f>
        <v>1757.8679999999999</v>
      </c>
      <c r="P39" s="232" t="s">
        <v>140</v>
      </c>
      <c r="Q39" s="233">
        <f>2010639/1000</f>
        <v>2010.6389999999999</v>
      </c>
      <c r="R39" s="233">
        <f>2801112/1000</f>
        <v>2801.1120000000001</v>
      </c>
      <c r="S39" s="234">
        <f>3167438/1000</f>
        <v>3167.4380000000001</v>
      </c>
      <c r="T39" s="216">
        <f>3783841/1000</f>
        <v>3783.8409999999999</v>
      </c>
      <c r="U39" s="235">
        <v>4427.8999999999996</v>
      </c>
      <c r="V39" s="236">
        <v>4698.2</v>
      </c>
      <c r="W39" s="236">
        <v>3790.8</v>
      </c>
      <c r="X39" s="236"/>
      <c r="Y39" s="236"/>
    </row>
    <row r="40" spans="2:25" ht="12" customHeight="1" x14ac:dyDescent="0.2">
      <c r="B40" s="162"/>
      <c r="C40" s="174"/>
      <c r="D40" s="207"/>
      <c r="E40" s="207"/>
      <c r="F40" s="207"/>
      <c r="G40" s="208"/>
      <c r="H40" s="208"/>
      <c r="I40" s="208"/>
      <c r="J40" s="208"/>
      <c r="K40" s="208"/>
      <c r="L40" s="208"/>
      <c r="M40" s="209"/>
      <c r="N40" s="209"/>
      <c r="O40" s="209"/>
      <c r="P40" s="218"/>
      <c r="Q40" s="205"/>
      <c r="R40" s="205"/>
      <c r="S40" s="229"/>
      <c r="T40" s="237"/>
      <c r="U40" s="230"/>
      <c r="V40" s="223"/>
      <c r="W40" s="223"/>
      <c r="X40" s="223"/>
      <c r="Y40" s="223"/>
    </row>
    <row r="41" spans="2:25" x14ac:dyDescent="0.2">
      <c r="B41" s="162"/>
      <c r="C41" s="178" t="s">
        <v>117</v>
      </c>
      <c r="D41" s="179">
        <f t="shared" ref="D41:M41" si="7">SUM(D42:D44)</f>
        <v>2050017</v>
      </c>
      <c r="E41" s="179">
        <f t="shared" si="7"/>
        <v>2163591</v>
      </c>
      <c r="F41" s="179">
        <f t="shared" si="7"/>
        <v>2155711</v>
      </c>
      <c r="G41" s="211">
        <f>SUM(G42:G44)</f>
        <v>2197.6390000000001</v>
      </c>
      <c r="H41" s="211">
        <f t="shared" si="7"/>
        <v>2305.4160000000002</v>
      </c>
      <c r="I41" s="211">
        <f t="shared" si="7"/>
        <v>0</v>
      </c>
      <c r="J41" s="211">
        <f t="shared" si="7"/>
        <v>0</v>
      </c>
      <c r="K41" s="211">
        <f t="shared" si="7"/>
        <v>0</v>
      </c>
      <c r="L41" s="211">
        <f t="shared" si="7"/>
        <v>0</v>
      </c>
      <c r="M41" s="211">
        <f t="shared" si="7"/>
        <v>2499.8020000000001</v>
      </c>
      <c r="N41" s="211">
        <f t="shared" ref="N41:S41" si="8">SUM(N42:N44)</f>
        <v>2626.94</v>
      </c>
      <c r="O41" s="211">
        <f t="shared" si="8"/>
        <v>3056.0119999999997</v>
      </c>
      <c r="P41" s="211">
        <f t="shared" si="8"/>
        <v>1621.3820000000001</v>
      </c>
      <c r="Q41" s="211">
        <f t="shared" si="8"/>
        <v>809.18100000000004</v>
      </c>
      <c r="R41" s="211">
        <f t="shared" si="8"/>
        <v>393.51799999999997</v>
      </c>
      <c r="S41" s="238">
        <f t="shared" si="8"/>
        <v>543.15300000000002</v>
      </c>
      <c r="T41" s="238">
        <f>SUM(T42:T44)</f>
        <v>461.00799999999998</v>
      </c>
      <c r="U41" s="216">
        <f>SUM(U42:U44)</f>
        <v>761.30499999999995</v>
      </c>
      <c r="V41" s="216">
        <f>SUM(V42:V44)</f>
        <v>813.93100000000004</v>
      </c>
      <c r="W41" s="216">
        <f>SUM(W42:W44)</f>
        <v>983.55700000000002</v>
      </c>
      <c r="X41" s="216">
        <f>SUM(X42:X44)</f>
        <v>1012.3</v>
      </c>
      <c r="Y41" s="216"/>
    </row>
    <row r="42" spans="2:25" ht="14.25" outlineLevel="1" x14ac:dyDescent="0.2">
      <c r="B42" s="162"/>
      <c r="C42" s="196" t="s">
        <v>153</v>
      </c>
      <c r="D42" s="175">
        <v>1322306</v>
      </c>
      <c r="E42" s="175">
        <v>1388290</v>
      </c>
      <c r="F42" s="175">
        <v>1698251</v>
      </c>
      <c r="G42" s="239">
        <f>1781583/1000</f>
        <v>1781.5830000000001</v>
      </c>
      <c r="H42" s="189">
        <f>1806384/1000</f>
        <v>1806.384</v>
      </c>
      <c r="I42" s="205"/>
      <c r="J42" s="205"/>
      <c r="K42" s="205"/>
      <c r="L42" s="205"/>
      <c r="M42" s="189">
        <f>1993554/1000</f>
        <v>1993.5540000000001</v>
      </c>
      <c r="N42" s="189">
        <f>2000000/1000</f>
        <v>2000</v>
      </c>
      <c r="O42" s="189">
        <f>2234357/1000</f>
        <v>2234.357</v>
      </c>
      <c r="P42" s="182" t="s">
        <v>112</v>
      </c>
      <c r="Q42" s="182" t="s">
        <v>143</v>
      </c>
      <c r="R42" s="182" t="s">
        <v>143</v>
      </c>
      <c r="S42" s="226" t="s">
        <v>143</v>
      </c>
      <c r="T42" s="226" t="s">
        <v>143</v>
      </c>
      <c r="U42" s="240" t="s">
        <v>143</v>
      </c>
      <c r="V42" s="240" t="s">
        <v>143</v>
      </c>
      <c r="W42" s="240" t="s">
        <v>143</v>
      </c>
      <c r="X42" s="240" t="s">
        <v>143</v>
      </c>
      <c r="Y42" s="240"/>
    </row>
    <row r="43" spans="2:25" outlineLevel="1" x14ac:dyDescent="0.2">
      <c r="B43" s="162"/>
      <c r="C43" s="196" t="s">
        <v>83</v>
      </c>
      <c r="D43" s="175">
        <v>400451</v>
      </c>
      <c r="E43" s="175">
        <v>437768</v>
      </c>
      <c r="F43" s="175">
        <v>457460</v>
      </c>
      <c r="G43" s="239">
        <f>416056/1000</f>
        <v>416.05599999999998</v>
      </c>
      <c r="H43" s="189">
        <f>499032/1000</f>
        <v>499.03199999999998</v>
      </c>
      <c r="I43" s="231"/>
      <c r="J43" s="231"/>
      <c r="K43" s="231"/>
      <c r="L43" s="231"/>
      <c r="M43" s="189">
        <f>506248/1000</f>
        <v>506.24799999999999</v>
      </c>
      <c r="N43" s="189">
        <f>626940/1000</f>
        <v>626.94000000000005</v>
      </c>
      <c r="O43" s="189">
        <f>821655/1000</f>
        <v>821.65499999999997</v>
      </c>
      <c r="P43" s="189">
        <f>909106/1000</f>
        <v>909.10599999999999</v>
      </c>
      <c r="Q43" s="189">
        <f>809181/1000</f>
        <v>809.18100000000004</v>
      </c>
      <c r="R43" s="189">
        <f>393518/1000</f>
        <v>393.51799999999997</v>
      </c>
      <c r="S43" s="219">
        <f>543153/1000</f>
        <v>543.15300000000002</v>
      </c>
      <c r="T43" s="219">
        <f>461008/1000</f>
        <v>461.00799999999998</v>
      </c>
      <c r="U43" s="222">
        <f>761305/1000</f>
        <v>761.30499999999995</v>
      </c>
      <c r="V43" s="223">
        <f>813931/1000</f>
        <v>813.93100000000004</v>
      </c>
      <c r="W43" s="241">
        <v>983.55700000000002</v>
      </c>
      <c r="X43" s="241">
        <v>1012.3</v>
      </c>
      <c r="Y43" s="241"/>
    </row>
    <row r="44" spans="2:25" ht="14.25" outlineLevel="1" x14ac:dyDescent="0.2">
      <c r="B44" s="162"/>
      <c r="C44" s="196" t="s">
        <v>84</v>
      </c>
      <c r="D44" s="175">
        <v>327260</v>
      </c>
      <c r="E44" s="175">
        <v>337533</v>
      </c>
      <c r="F44" s="224" t="s">
        <v>78</v>
      </c>
      <c r="G44" s="182" t="s">
        <v>110</v>
      </c>
      <c r="H44" s="182" t="s">
        <v>110</v>
      </c>
      <c r="I44" s="182" t="s">
        <v>110</v>
      </c>
      <c r="J44" s="182" t="s">
        <v>110</v>
      </c>
      <c r="K44" s="182" t="s">
        <v>110</v>
      </c>
      <c r="L44" s="182" t="s">
        <v>110</v>
      </c>
      <c r="M44" s="182" t="s">
        <v>110</v>
      </c>
      <c r="N44" s="182" t="s">
        <v>110</v>
      </c>
      <c r="O44" s="182" t="s">
        <v>110</v>
      </c>
      <c r="P44" s="189">
        <f>712276/1000</f>
        <v>712.27599999999995</v>
      </c>
      <c r="Q44" s="182" t="s">
        <v>143</v>
      </c>
      <c r="R44" s="182" t="s">
        <v>143</v>
      </c>
      <c r="S44" s="226" t="s">
        <v>143</v>
      </c>
      <c r="T44" s="226" t="s">
        <v>143</v>
      </c>
      <c r="U44" s="240" t="s">
        <v>143</v>
      </c>
      <c r="V44" s="240" t="s">
        <v>143</v>
      </c>
      <c r="W44" s="240" t="s">
        <v>143</v>
      </c>
      <c r="X44" s="240" t="s">
        <v>143</v>
      </c>
      <c r="Y44" s="240"/>
    </row>
    <row r="45" spans="2:25" ht="14.25" x14ac:dyDescent="0.2">
      <c r="B45" s="162"/>
      <c r="C45" s="242"/>
      <c r="D45" s="243"/>
      <c r="E45" s="243"/>
      <c r="F45" s="243"/>
      <c r="G45" s="244"/>
      <c r="H45" s="244"/>
      <c r="I45" s="243"/>
      <c r="J45" s="243"/>
      <c r="K45" s="243"/>
      <c r="L45" s="243"/>
      <c r="M45" s="244"/>
      <c r="N45" s="244"/>
      <c r="O45" s="244"/>
      <c r="P45" s="245"/>
      <c r="Q45" s="245"/>
      <c r="R45" s="245"/>
      <c r="S45" s="246"/>
      <c r="T45" s="246"/>
      <c r="U45" s="246"/>
      <c r="V45" s="246"/>
      <c r="W45" s="247"/>
      <c r="X45" s="247"/>
      <c r="Y45" s="247"/>
    </row>
    <row r="46" spans="2:25" x14ac:dyDescent="0.2">
      <c r="B46" s="162"/>
      <c r="C46" s="248"/>
      <c r="D46" s="179"/>
      <c r="E46" s="179"/>
      <c r="F46" s="179"/>
      <c r="G46" s="179"/>
      <c r="H46" s="179"/>
      <c r="I46" s="179"/>
      <c r="J46" s="179"/>
      <c r="K46" s="179"/>
      <c r="L46" s="174"/>
      <c r="M46" s="175"/>
      <c r="N46" s="175"/>
      <c r="O46" s="175"/>
      <c r="P46" s="174"/>
      <c r="Q46" s="249"/>
      <c r="R46" s="249"/>
      <c r="S46" s="250"/>
      <c r="T46" s="250"/>
      <c r="U46" s="250"/>
      <c r="V46" s="250"/>
      <c r="W46" s="250"/>
      <c r="X46" s="230"/>
      <c r="Y46" s="230"/>
    </row>
    <row r="47" spans="2:25" x14ac:dyDescent="0.2">
      <c r="B47" s="162"/>
      <c r="C47" s="248"/>
      <c r="D47" s="179"/>
      <c r="E47" s="179"/>
      <c r="F47" s="179"/>
      <c r="G47" s="179"/>
      <c r="H47" s="179"/>
      <c r="I47" s="179"/>
      <c r="J47" s="179"/>
      <c r="K47" s="179"/>
      <c r="L47" s="174"/>
      <c r="M47" s="175"/>
      <c r="N47" s="175"/>
      <c r="O47" s="175"/>
      <c r="P47" s="174"/>
      <c r="Q47" s="249"/>
      <c r="R47" s="249"/>
      <c r="S47" s="250"/>
      <c r="T47" s="250"/>
      <c r="U47" s="250"/>
      <c r="V47" s="250"/>
      <c r="W47" s="250"/>
      <c r="X47" s="230"/>
      <c r="Y47" s="230"/>
    </row>
    <row r="48" spans="2:25" ht="15.75" x14ac:dyDescent="0.25">
      <c r="B48" s="251"/>
      <c r="C48" s="252" t="s">
        <v>18</v>
      </c>
      <c r="D48" s="253"/>
      <c r="E48" s="253"/>
      <c r="F48" s="253"/>
      <c r="G48" s="253"/>
      <c r="H48" s="253"/>
      <c r="I48" s="253"/>
      <c r="J48" s="253"/>
      <c r="K48" s="253"/>
      <c r="L48" s="168"/>
      <c r="M48" s="254"/>
      <c r="N48" s="254"/>
      <c r="O48" s="254"/>
      <c r="P48" s="168"/>
      <c r="Q48" s="249"/>
      <c r="R48" s="249"/>
      <c r="S48" s="250"/>
      <c r="T48" s="250"/>
      <c r="U48" s="250"/>
      <c r="V48" s="250"/>
      <c r="W48" s="250"/>
      <c r="X48" s="230"/>
      <c r="Y48" s="230"/>
    </row>
    <row r="49" spans="2:25" ht="15.75" x14ac:dyDescent="0.25">
      <c r="B49" s="251"/>
      <c r="C49" s="252"/>
      <c r="D49" s="253"/>
      <c r="E49" s="253"/>
      <c r="F49" s="253"/>
      <c r="G49" s="253"/>
      <c r="H49" s="253"/>
      <c r="I49" s="253"/>
      <c r="J49" s="253"/>
      <c r="K49" s="253"/>
      <c r="L49" s="168"/>
      <c r="M49" s="254"/>
      <c r="N49" s="254"/>
      <c r="O49" s="254"/>
      <c r="P49" s="168"/>
      <c r="Q49" s="249"/>
      <c r="R49" s="249"/>
      <c r="S49" s="250"/>
      <c r="T49" s="250"/>
      <c r="U49" s="250"/>
      <c r="V49" s="250"/>
      <c r="W49" s="250"/>
      <c r="X49" s="230"/>
      <c r="Y49" s="230"/>
    </row>
    <row r="50" spans="2:25" ht="14.25" x14ac:dyDescent="0.2">
      <c r="B50" s="162"/>
      <c r="C50" s="255" t="s">
        <v>24</v>
      </c>
      <c r="D50" s="256">
        <f t="shared" ref="D50:K50" si="9">SUM(D52,D54)</f>
        <v>1437822</v>
      </c>
      <c r="E50" s="256">
        <f t="shared" si="9"/>
        <v>1313556.26</v>
      </c>
      <c r="F50" s="256">
        <f t="shared" si="9"/>
        <v>1304599.1599999999</v>
      </c>
      <c r="G50" s="256">
        <f t="shared" si="9"/>
        <v>1383.3630000000001</v>
      </c>
      <c r="H50" s="256">
        <f t="shared" si="9"/>
        <v>1902.6558000000002</v>
      </c>
      <c r="I50" s="256">
        <f t="shared" si="9"/>
        <v>0</v>
      </c>
      <c r="J50" s="256">
        <f t="shared" si="9"/>
        <v>0</v>
      </c>
      <c r="K50" s="256">
        <f t="shared" si="9"/>
        <v>0</v>
      </c>
      <c r="L50" s="168"/>
      <c r="M50" s="256">
        <f>SUM(M52,M54)</f>
        <v>2094.0245</v>
      </c>
      <c r="N50" s="256">
        <f>SUM(N52,N54)</f>
        <v>2209.4236500000002</v>
      </c>
      <c r="O50" s="256">
        <f>SUM(O52,O54)</f>
        <v>2196.0070000000001</v>
      </c>
      <c r="P50" s="257" t="s">
        <v>110</v>
      </c>
      <c r="Q50" s="258">
        <f>SUM(Q52,Q54)</f>
        <v>2454.0949999999998</v>
      </c>
      <c r="R50" s="259">
        <f>SUM(R52,R54)</f>
        <v>2913.221</v>
      </c>
      <c r="S50" s="260">
        <f>SUM(S52,S54)</f>
        <v>3241.6840000000002</v>
      </c>
      <c r="T50" s="260">
        <f>SUM(T52,T54)</f>
        <v>3812.4709999999995</v>
      </c>
      <c r="U50" s="260">
        <v>4501.8</v>
      </c>
      <c r="V50" s="260">
        <f>SUM(V52,V54)</f>
        <v>6841.1</v>
      </c>
      <c r="W50" s="260">
        <f>SUM(W52,W54)</f>
        <v>4436.8999999999996</v>
      </c>
      <c r="X50" s="191">
        <v>0</v>
      </c>
      <c r="Y50" s="191"/>
    </row>
    <row r="51" spans="2:25" x14ac:dyDescent="0.2">
      <c r="B51" s="162"/>
      <c r="C51" s="255"/>
      <c r="D51" s="261"/>
      <c r="E51" s="262"/>
      <c r="F51" s="254"/>
      <c r="G51" s="254"/>
      <c r="H51" s="254"/>
      <c r="I51" s="262"/>
      <c r="J51" s="262"/>
      <c r="K51" s="262"/>
      <c r="L51" s="168"/>
      <c r="M51" s="254"/>
      <c r="N51" s="254"/>
      <c r="O51" s="254"/>
      <c r="P51" s="168"/>
      <c r="Q51" s="249"/>
      <c r="R51" s="249"/>
      <c r="S51" s="250"/>
      <c r="T51" s="250"/>
      <c r="U51" s="250"/>
      <c r="V51" s="250"/>
      <c r="W51" s="230"/>
      <c r="X51" s="230"/>
      <c r="Y51" s="230"/>
    </row>
    <row r="52" spans="2:25" ht="14.25" x14ac:dyDescent="0.2">
      <c r="B52" s="162"/>
      <c r="C52" s="178" t="s">
        <v>1</v>
      </c>
      <c r="D52" s="179">
        <f>614506</f>
        <v>614506</v>
      </c>
      <c r="E52" s="179">
        <f>549854.14</f>
        <v>549854.14</v>
      </c>
      <c r="F52" s="179">
        <f>570814.84</f>
        <v>570814.84</v>
      </c>
      <c r="G52" s="181">
        <f>601648/1000</f>
        <v>601.64800000000002</v>
      </c>
      <c r="H52" s="181">
        <f>814837.68/1000</f>
        <v>814.83768000000009</v>
      </c>
      <c r="I52" s="179"/>
      <c r="J52" s="179"/>
      <c r="K52" s="179"/>
      <c r="L52" s="263"/>
      <c r="M52" s="181">
        <f>915060.65/1000</f>
        <v>915.06065000000001</v>
      </c>
      <c r="N52" s="181">
        <f>969541.2/1000</f>
        <v>969.5412</v>
      </c>
      <c r="O52" s="181">
        <f>938767/1000</f>
        <v>938.76700000000005</v>
      </c>
      <c r="P52" s="182" t="s">
        <v>110</v>
      </c>
      <c r="Q52" s="258">
        <f>1003257/1000</f>
        <v>1003.2569999999999</v>
      </c>
      <c r="R52" s="264">
        <f>1120482/1000</f>
        <v>1120.482</v>
      </c>
      <c r="S52" s="265">
        <f>1195709/1000</f>
        <v>1195.7090000000001</v>
      </c>
      <c r="T52" s="236">
        <f>1461048/1000</f>
        <v>1461.048</v>
      </c>
      <c r="U52" s="236">
        <v>1825.4</v>
      </c>
      <c r="V52" s="266">
        <v>3146.8</v>
      </c>
      <c r="W52" s="266">
        <v>1870.8</v>
      </c>
      <c r="X52" s="191">
        <v>0</v>
      </c>
      <c r="Y52" s="191"/>
    </row>
    <row r="53" spans="2:25" ht="14.25" x14ac:dyDescent="0.2">
      <c r="B53" s="162"/>
      <c r="C53" s="174"/>
      <c r="D53" s="179"/>
      <c r="E53" s="179"/>
      <c r="F53" s="179"/>
      <c r="G53" s="179"/>
      <c r="H53" s="179"/>
      <c r="I53" s="179"/>
      <c r="J53" s="179"/>
      <c r="K53" s="179"/>
      <c r="L53" s="263"/>
      <c r="M53" s="263"/>
      <c r="N53" s="263"/>
      <c r="O53" s="263"/>
      <c r="P53" s="182"/>
      <c r="Q53" s="258"/>
      <c r="R53" s="267"/>
      <c r="S53" s="268"/>
      <c r="T53" s="223"/>
      <c r="U53" s="223"/>
      <c r="V53" s="269"/>
      <c r="W53" s="269"/>
      <c r="X53" s="269"/>
      <c r="Y53" s="269"/>
    </row>
    <row r="54" spans="2:25" ht="14.25" x14ac:dyDescent="0.2">
      <c r="B54" s="162"/>
      <c r="C54" s="178" t="s">
        <v>2</v>
      </c>
      <c r="D54" s="179">
        <f>823316</f>
        <v>823316</v>
      </c>
      <c r="E54" s="179">
        <f>763702.12</f>
        <v>763702.12</v>
      </c>
      <c r="F54" s="179">
        <f>733784.32</f>
        <v>733784.32</v>
      </c>
      <c r="G54" s="181">
        <f>781715/1000</f>
        <v>781.71500000000003</v>
      </c>
      <c r="H54" s="181">
        <f>1087818.12/1000</f>
        <v>1087.8181200000001</v>
      </c>
      <c r="I54" s="181"/>
      <c r="J54" s="181"/>
      <c r="K54" s="181"/>
      <c r="L54" s="270"/>
      <c r="M54" s="181">
        <f>1178963.85/1000</f>
        <v>1178.9638500000001</v>
      </c>
      <c r="N54" s="181">
        <f>1239882.45/1000</f>
        <v>1239.8824500000001</v>
      </c>
      <c r="O54" s="181">
        <f>1257240/1000</f>
        <v>1257.24</v>
      </c>
      <c r="P54" s="182" t="s">
        <v>110</v>
      </c>
      <c r="Q54" s="258">
        <f>1450838/1000</f>
        <v>1450.838</v>
      </c>
      <c r="R54" s="264">
        <f>1792739/1000</f>
        <v>1792.739</v>
      </c>
      <c r="S54" s="265">
        <f>2045975/1000</f>
        <v>2045.9749999999999</v>
      </c>
      <c r="T54" s="236">
        <f>2351423/1000</f>
        <v>2351.4229999999998</v>
      </c>
      <c r="U54" s="236">
        <v>2676.4</v>
      </c>
      <c r="V54" s="266">
        <v>3694.3</v>
      </c>
      <c r="W54" s="266">
        <v>2566.1</v>
      </c>
      <c r="X54" s="191">
        <v>0</v>
      </c>
      <c r="Y54" s="191"/>
    </row>
    <row r="55" spans="2:25" ht="14.25" x14ac:dyDescent="0.2">
      <c r="B55" s="162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45"/>
      <c r="Q55" s="272"/>
      <c r="R55" s="273"/>
      <c r="S55" s="274"/>
      <c r="T55" s="275"/>
      <c r="U55" s="275"/>
      <c r="V55" s="247"/>
      <c r="W55" s="247"/>
      <c r="X55" s="247"/>
      <c r="Y55" s="247"/>
    </row>
    <row r="56" spans="2:25" ht="14.25" x14ac:dyDescent="0.2">
      <c r="B56" s="162"/>
      <c r="C56" s="174" t="s">
        <v>205</v>
      </c>
      <c r="D56" s="256"/>
      <c r="E56" s="256"/>
      <c r="F56" s="256"/>
      <c r="G56" s="256"/>
      <c r="H56" s="256"/>
      <c r="I56" s="256"/>
      <c r="J56" s="256"/>
      <c r="K56" s="256"/>
      <c r="L56" s="168"/>
      <c r="M56" s="256"/>
      <c r="N56" s="256"/>
      <c r="O56" s="256"/>
      <c r="P56" s="182"/>
      <c r="Q56" s="249"/>
      <c r="R56" s="249"/>
      <c r="S56" s="249"/>
      <c r="T56" s="249"/>
      <c r="U56" s="249"/>
      <c r="V56" s="249"/>
      <c r="W56" s="249"/>
      <c r="X56" s="174"/>
      <c r="Y56" s="121"/>
    </row>
    <row r="57" spans="2:25" ht="14.25" x14ac:dyDescent="0.2">
      <c r="C57" s="121"/>
      <c r="D57" s="133"/>
      <c r="E57" s="133"/>
      <c r="F57" s="133"/>
      <c r="G57" s="133"/>
      <c r="H57" s="133"/>
      <c r="I57" s="133"/>
      <c r="J57" s="133"/>
      <c r="K57" s="133"/>
      <c r="L57" s="120"/>
      <c r="M57" s="133"/>
      <c r="N57" s="133"/>
      <c r="O57" s="133"/>
      <c r="P57" s="126"/>
      <c r="Q57" s="128"/>
      <c r="R57" s="128"/>
      <c r="S57" s="128"/>
      <c r="T57" s="128"/>
      <c r="U57" s="128"/>
      <c r="V57" s="128"/>
      <c r="W57" s="128"/>
      <c r="X57" s="121"/>
      <c r="Y57" s="121"/>
    </row>
    <row r="58" spans="2:25" ht="14.25" x14ac:dyDescent="0.2">
      <c r="C58" s="121"/>
      <c r="D58" s="133"/>
      <c r="E58" s="133"/>
      <c r="F58" s="133"/>
      <c r="G58" s="133"/>
      <c r="H58" s="133"/>
      <c r="I58" s="133"/>
      <c r="J58" s="133"/>
      <c r="K58" s="133"/>
      <c r="L58" s="120"/>
      <c r="M58" s="133"/>
      <c r="N58" s="133"/>
      <c r="O58" s="133"/>
      <c r="P58" s="126"/>
      <c r="Q58" s="128"/>
      <c r="R58" s="128"/>
      <c r="S58" s="128"/>
      <c r="T58" s="128"/>
      <c r="U58" s="128"/>
      <c r="V58" s="128"/>
      <c r="W58" s="128"/>
      <c r="X58" s="121"/>
      <c r="Y58" s="121"/>
    </row>
    <row r="59" spans="2:25" ht="14.25" x14ac:dyDescent="0.2">
      <c r="B59" s="134"/>
      <c r="C59" s="135"/>
      <c r="D59" s="133"/>
      <c r="E59" s="133"/>
      <c r="F59" s="133"/>
      <c r="G59" s="133"/>
      <c r="H59" s="133"/>
      <c r="I59" s="133"/>
      <c r="J59" s="133"/>
      <c r="K59" s="133"/>
      <c r="L59" s="120"/>
      <c r="M59" s="133"/>
      <c r="N59" s="133"/>
      <c r="O59" s="133"/>
      <c r="P59" s="126"/>
      <c r="Q59" s="128"/>
      <c r="R59" s="128"/>
      <c r="S59" s="128"/>
      <c r="T59" s="128"/>
      <c r="U59" s="128"/>
      <c r="V59" s="128"/>
      <c r="W59" s="128"/>
      <c r="X59" s="121"/>
      <c r="Y59" s="121"/>
    </row>
    <row r="60" spans="2:25" ht="14.25" x14ac:dyDescent="0.2">
      <c r="B60" s="134"/>
      <c r="C60" s="135"/>
      <c r="D60" s="133"/>
      <c r="E60" s="133"/>
      <c r="F60" s="133"/>
      <c r="G60" s="133"/>
      <c r="H60" s="133"/>
      <c r="I60" s="133"/>
      <c r="J60" s="133"/>
      <c r="K60" s="133"/>
      <c r="L60" s="120"/>
      <c r="M60" s="133"/>
      <c r="N60" s="133"/>
      <c r="O60" s="133"/>
      <c r="P60" s="126"/>
      <c r="Q60" s="128"/>
      <c r="R60" s="128"/>
      <c r="S60" s="128"/>
      <c r="T60" s="128"/>
      <c r="U60" s="128"/>
      <c r="V60" s="128"/>
      <c r="W60" s="128"/>
      <c r="X60" s="121"/>
      <c r="Y60" s="121"/>
    </row>
    <row r="61" spans="2:25" ht="14.25" x14ac:dyDescent="0.2">
      <c r="C61" s="130"/>
      <c r="D61" s="133"/>
      <c r="E61" s="133"/>
      <c r="F61" s="133"/>
      <c r="G61" s="133"/>
      <c r="H61" s="133"/>
      <c r="I61" s="133"/>
      <c r="J61" s="133"/>
      <c r="K61" s="133"/>
      <c r="L61" s="120"/>
      <c r="M61" s="133"/>
      <c r="N61" s="133"/>
      <c r="O61" s="133"/>
      <c r="P61" s="126"/>
      <c r="Q61" s="128"/>
      <c r="R61" s="128"/>
      <c r="S61" s="128"/>
      <c r="T61" s="128"/>
      <c r="U61" s="128"/>
      <c r="V61" s="128"/>
      <c r="W61" s="128"/>
      <c r="X61" s="121"/>
      <c r="Y61" s="121"/>
    </row>
    <row r="69" spans="2:35" x14ac:dyDescent="0.2">
      <c r="U69"/>
    </row>
    <row r="71" spans="2:35" ht="9" customHeight="1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2:35" x14ac:dyDescent="0.2">
      <c r="B72" s="604">
        <v>33</v>
      </c>
      <c r="C72" s="604"/>
      <c r="D72" s="604"/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04"/>
      <c r="T72" s="604"/>
      <c r="U72" s="604"/>
      <c r="V72" s="604"/>
      <c r="W72" s="604"/>
      <c r="X72" s="604"/>
      <c r="Y72" s="18"/>
      <c r="Z72" s="136"/>
      <c r="AA72" s="136"/>
      <c r="AB72" s="136"/>
      <c r="AC72" s="136"/>
      <c r="AD72" s="136"/>
      <c r="AE72" s="136"/>
      <c r="AF72" s="136"/>
      <c r="AG72" s="136"/>
    </row>
    <row r="73" spans="2:35" ht="14.25" x14ac:dyDescent="0.2">
      <c r="C73" s="130"/>
      <c r="D73" s="133"/>
      <c r="E73" s="133"/>
      <c r="F73" s="133"/>
      <c r="G73" s="133"/>
      <c r="H73" s="133"/>
      <c r="I73" s="133"/>
      <c r="J73" s="133"/>
      <c r="K73" s="133"/>
      <c r="L73" s="120"/>
      <c r="M73" s="133"/>
      <c r="N73" s="133"/>
      <c r="O73" s="133"/>
      <c r="P73" s="126"/>
      <c r="Q73" s="128"/>
      <c r="R73" s="128"/>
      <c r="S73" s="128"/>
      <c r="T73" s="128"/>
      <c r="U73" s="128"/>
      <c r="V73" s="128"/>
      <c r="W73" s="128"/>
      <c r="X73" s="121"/>
      <c r="Y73" s="121"/>
    </row>
    <row r="74" spans="2:35" ht="14.25" x14ac:dyDescent="0.2">
      <c r="C74" s="130"/>
      <c r="D74" s="133"/>
      <c r="E74" s="133"/>
      <c r="F74" s="133"/>
      <c r="G74" s="133"/>
      <c r="H74" s="133"/>
      <c r="I74" s="133"/>
      <c r="J74" s="133"/>
      <c r="K74" s="133"/>
      <c r="L74" s="120"/>
      <c r="M74" s="133"/>
      <c r="N74" s="133"/>
      <c r="O74" s="133"/>
      <c r="P74" s="126"/>
      <c r="Q74" s="128"/>
      <c r="R74" s="128"/>
      <c r="S74" s="128"/>
      <c r="T74" s="128"/>
      <c r="U74" s="128"/>
      <c r="V74" s="128"/>
      <c r="W74" s="128"/>
      <c r="X74" s="121"/>
      <c r="Y74" s="121"/>
    </row>
    <row r="75" spans="2:35" ht="14.25" x14ac:dyDescent="0.2">
      <c r="B75" s="137"/>
      <c r="C75" s="130"/>
      <c r="D75" s="125"/>
      <c r="E75" s="125"/>
      <c r="F75" s="125"/>
      <c r="G75" s="125"/>
      <c r="H75" s="125"/>
      <c r="I75" s="125">
        <f>SUM(D53,D55)</f>
        <v>0</v>
      </c>
      <c r="J75" s="125">
        <f>SUM(E53,E55)</f>
        <v>0</v>
      </c>
      <c r="K75" s="125">
        <f>SUM(F53,F55)</f>
        <v>0</v>
      </c>
      <c r="L75" s="121"/>
      <c r="M75" s="122"/>
      <c r="N75" s="122"/>
      <c r="O75" s="121"/>
      <c r="P75" s="126"/>
      <c r="Q75" s="128"/>
      <c r="R75" s="128"/>
      <c r="S75" s="128"/>
      <c r="T75" s="128"/>
      <c r="U75" s="128"/>
      <c r="V75" s="128"/>
      <c r="W75" s="128"/>
      <c r="X75" s="121"/>
      <c r="Y75" s="121"/>
    </row>
    <row r="76" spans="2:35" ht="14.25" x14ac:dyDescent="0.2">
      <c r="B76" s="137"/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2"/>
      <c r="N76" s="122"/>
      <c r="O76" s="121"/>
      <c r="P76" s="126"/>
      <c r="Q76" s="128"/>
      <c r="R76" s="128"/>
      <c r="S76" s="128"/>
      <c r="T76" s="128"/>
      <c r="U76" s="128"/>
      <c r="V76" s="128"/>
      <c r="W76" s="128"/>
      <c r="X76" s="121"/>
      <c r="Y76" s="121"/>
    </row>
    <row r="77" spans="2:35" s="137" customFormat="1" ht="14.25" x14ac:dyDescent="0.2">
      <c r="C77" s="138" t="s">
        <v>6</v>
      </c>
      <c r="D77" s="139">
        <f t="shared" ref="D77:O77" si="10">D45+D50</f>
        <v>1437822</v>
      </c>
      <c r="E77" s="139">
        <f t="shared" si="10"/>
        <v>1313556.26</v>
      </c>
      <c r="F77" s="139">
        <f t="shared" si="10"/>
        <v>1304599.1599999999</v>
      </c>
      <c r="G77" s="139">
        <f t="shared" si="10"/>
        <v>1383.3630000000001</v>
      </c>
      <c r="H77" s="139">
        <f t="shared" si="10"/>
        <v>1902.6558000000002</v>
      </c>
      <c r="I77" s="139">
        <f t="shared" si="10"/>
        <v>0</v>
      </c>
      <c r="J77" s="139">
        <f t="shared" si="10"/>
        <v>0</v>
      </c>
      <c r="K77" s="139">
        <f t="shared" si="10"/>
        <v>0</v>
      </c>
      <c r="L77" s="139">
        <f t="shared" si="10"/>
        <v>0</v>
      </c>
      <c r="M77" s="139">
        <f t="shared" si="10"/>
        <v>2094.0245</v>
      </c>
      <c r="N77" s="139">
        <f t="shared" si="10"/>
        <v>2209.4236500000002</v>
      </c>
      <c r="O77" s="139">
        <f t="shared" si="10"/>
        <v>2196.0070000000001</v>
      </c>
      <c r="P77" s="126" t="s">
        <v>110</v>
      </c>
      <c r="Q77" s="126" t="s">
        <v>110</v>
      </c>
      <c r="R77" s="126" t="s">
        <v>110</v>
      </c>
      <c r="S77" s="126" t="s">
        <v>110</v>
      </c>
      <c r="T77" s="126"/>
      <c r="U77" s="126"/>
      <c r="V77" s="126"/>
      <c r="W77" s="126"/>
      <c r="X77" s="126" t="s">
        <v>110</v>
      </c>
      <c r="Y77" s="126"/>
    </row>
    <row r="78" spans="2:35" s="137" customFormat="1" ht="14.25" x14ac:dyDescent="0.2"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9"/>
      <c r="N78" s="129"/>
      <c r="O78" s="120"/>
      <c r="P78" s="126" t="s">
        <v>110</v>
      </c>
      <c r="Q78" s="126" t="s">
        <v>110</v>
      </c>
      <c r="R78" s="126" t="s">
        <v>110</v>
      </c>
      <c r="S78" s="126" t="s">
        <v>110</v>
      </c>
      <c r="T78" s="126"/>
      <c r="U78" s="126"/>
      <c r="V78" s="126"/>
      <c r="W78" s="126"/>
      <c r="X78" s="126" t="s">
        <v>110</v>
      </c>
      <c r="Y78" s="126"/>
    </row>
    <row r="79" spans="2:35" s="137" customFormat="1" ht="14.25" x14ac:dyDescent="0.2">
      <c r="C79" s="131" t="s">
        <v>1</v>
      </c>
      <c r="D79" s="139">
        <f t="shared" ref="D79:O79" si="11">D14+D52</f>
        <v>7656719.1500000004</v>
      </c>
      <c r="E79" s="139">
        <f t="shared" si="11"/>
        <v>6706557.6299999999</v>
      </c>
      <c r="F79" s="139">
        <f t="shared" si="11"/>
        <v>7604128.8200000003</v>
      </c>
      <c r="G79" s="139">
        <f t="shared" si="11"/>
        <v>7829.7480000000005</v>
      </c>
      <c r="H79" s="139">
        <f t="shared" si="11"/>
        <v>11534.875680000001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11442.88465</v>
      </c>
      <c r="N79" s="139">
        <f t="shared" si="11"/>
        <v>12624.050279999999</v>
      </c>
      <c r="O79" s="139">
        <f t="shared" si="11"/>
        <v>13110.682809999998</v>
      </c>
      <c r="P79" s="126" t="s">
        <v>110</v>
      </c>
      <c r="Q79" s="126" t="s">
        <v>110</v>
      </c>
      <c r="R79" s="126" t="s">
        <v>110</v>
      </c>
      <c r="S79" s="126" t="s">
        <v>110</v>
      </c>
      <c r="T79" s="126"/>
      <c r="U79" s="126"/>
      <c r="V79" s="126"/>
      <c r="W79" s="126"/>
      <c r="X79" s="126" t="s">
        <v>110</v>
      </c>
      <c r="Y79" s="126"/>
    </row>
    <row r="80" spans="2:35" s="137" customFormat="1" ht="14.25" x14ac:dyDescent="0.2">
      <c r="C80" s="131"/>
      <c r="D80" s="120"/>
      <c r="E80" s="120"/>
      <c r="F80" s="120"/>
      <c r="G80" s="120"/>
      <c r="H80" s="120"/>
      <c r="I80" s="120"/>
      <c r="J80" s="120"/>
      <c r="K80" s="120"/>
      <c r="L80" s="120"/>
      <c r="M80" s="129"/>
      <c r="N80" s="129"/>
      <c r="O80" s="120"/>
      <c r="P80" s="126" t="s">
        <v>110</v>
      </c>
      <c r="Q80" s="126" t="s">
        <v>110</v>
      </c>
      <c r="R80" s="126" t="s">
        <v>110</v>
      </c>
      <c r="S80" s="126" t="s">
        <v>110</v>
      </c>
      <c r="T80" s="126"/>
      <c r="U80" s="126"/>
      <c r="V80" s="126"/>
      <c r="W80" s="126"/>
      <c r="X80" s="126" t="s">
        <v>110</v>
      </c>
      <c r="Y80" s="126"/>
    </row>
    <row r="81" spans="2:25" ht="14.25" x14ac:dyDescent="0.2">
      <c r="B81" s="137"/>
      <c r="C81" s="131" t="s">
        <v>2</v>
      </c>
      <c r="D81" s="139">
        <f t="shared" ref="D81:O81" si="12">D28+D54</f>
        <v>7602527</v>
      </c>
      <c r="E81" s="139">
        <f t="shared" si="12"/>
        <v>7535940.1200000001</v>
      </c>
      <c r="F81" s="139">
        <f t="shared" si="12"/>
        <v>7286396.3200000003</v>
      </c>
      <c r="G81" s="139">
        <f t="shared" si="12"/>
        <v>7414.6990000000005</v>
      </c>
      <c r="H81" s="139">
        <f t="shared" si="12"/>
        <v>11125.905119999999</v>
      </c>
      <c r="I81" s="139" t="e">
        <f t="shared" si="12"/>
        <v>#REF!</v>
      </c>
      <c r="J81" s="139" t="e">
        <f t="shared" si="12"/>
        <v>#REF!</v>
      </c>
      <c r="K81" s="139" t="e">
        <f t="shared" si="12"/>
        <v>#REF!</v>
      </c>
      <c r="L81" s="139">
        <f t="shared" si="12"/>
        <v>0</v>
      </c>
      <c r="M81" s="139">
        <f t="shared" si="12"/>
        <v>11109.438849999999</v>
      </c>
      <c r="N81" s="139">
        <f t="shared" si="12"/>
        <v>12494.97753</v>
      </c>
      <c r="O81" s="139">
        <f t="shared" si="12"/>
        <v>11033.579</v>
      </c>
      <c r="P81" s="126" t="s">
        <v>110</v>
      </c>
      <c r="Q81" s="126" t="s">
        <v>110</v>
      </c>
      <c r="R81" s="126" t="s">
        <v>110</v>
      </c>
      <c r="S81" s="126" t="s">
        <v>110</v>
      </c>
      <c r="T81" s="126"/>
      <c r="U81" s="126"/>
      <c r="V81" s="126"/>
      <c r="W81" s="126"/>
      <c r="X81" s="126" t="s">
        <v>110</v>
      </c>
      <c r="Y81" s="126"/>
    </row>
    <row r="82" spans="2:25" ht="14.25" x14ac:dyDescent="0.2">
      <c r="B82" s="131"/>
      <c r="C82" s="131"/>
      <c r="D82" s="120"/>
      <c r="E82" s="120"/>
      <c r="F82" s="120"/>
      <c r="G82" s="120"/>
      <c r="H82" s="120"/>
      <c r="I82" s="120"/>
      <c r="J82" s="120"/>
      <c r="K82" s="120"/>
      <c r="L82" s="120"/>
      <c r="M82" s="129"/>
      <c r="N82" s="129"/>
      <c r="O82" s="121"/>
      <c r="P82" s="126" t="s">
        <v>110</v>
      </c>
      <c r="Q82" s="126" t="s">
        <v>110</v>
      </c>
      <c r="R82" s="126" t="s">
        <v>110</v>
      </c>
      <c r="S82" s="126" t="s">
        <v>110</v>
      </c>
      <c r="T82" s="126"/>
      <c r="U82" s="126"/>
      <c r="V82" s="126"/>
      <c r="W82" s="126"/>
      <c r="X82" s="126" t="s">
        <v>110</v>
      </c>
      <c r="Y82" s="126"/>
    </row>
    <row r="83" spans="2:25" ht="14.25" x14ac:dyDescent="0.2">
      <c r="B83" s="137"/>
      <c r="C83" s="131" t="s">
        <v>38</v>
      </c>
      <c r="D83" s="139">
        <f t="shared" ref="D83:O83" si="13">D39+D41</f>
        <v>2969987</v>
      </c>
      <c r="E83" s="139">
        <f t="shared" si="13"/>
        <v>3058750</v>
      </c>
      <c r="F83" s="139">
        <f t="shared" si="13"/>
        <v>3009449</v>
      </c>
      <c r="G83" s="139">
        <f t="shared" si="13"/>
        <v>3103.3029999999999</v>
      </c>
      <c r="H83" s="139">
        <f t="shared" si="13"/>
        <v>3789.33</v>
      </c>
      <c r="I83" s="139">
        <f t="shared" si="13"/>
        <v>0</v>
      </c>
      <c r="J83" s="139">
        <f t="shared" si="13"/>
        <v>0</v>
      </c>
      <c r="K83" s="139">
        <f t="shared" si="13"/>
        <v>0</v>
      </c>
      <c r="L83" s="139">
        <f t="shared" si="13"/>
        <v>0</v>
      </c>
      <c r="M83" s="139">
        <f t="shared" si="13"/>
        <v>4038.998</v>
      </c>
      <c r="N83" s="139">
        <f t="shared" si="13"/>
        <v>4412.6729999999998</v>
      </c>
      <c r="O83" s="139">
        <f t="shared" si="13"/>
        <v>4813.8799999999992</v>
      </c>
      <c r="P83" s="126" t="s">
        <v>110</v>
      </c>
      <c r="Q83" s="126" t="s">
        <v>110</v>
      </c>
      <c r="R83" s="126" t="s">
        <v>110</v>
      </c>
      <c r="S83" s="126" t="s">
        <v>110</v>
      </c>
      <c r="T83" s="126"/>
      <c r="U83" s="126"/>
      <c r="V83" s="126"/>
      <c r="W83" s="126"/>
      <c r="X83" s="126" t="s">
        <v>110</v>
      </c>
      <c r="Y83" s="126"/>
    </row>
    <row r="84" spans="2:25" ht="14.25" x14ac:dyDescent="0.2">
      <c r="B84" s="140"/>
      <c r="C84" s="141"/>
      <c r="D84" s="132"/>
      <c r="E84" s="132"/>
      <c r="F84" s="132"/>
      <c r="G84" s="132"/>
      <c r="H84" s="132"/>
      <c r="I84" s="132"/>
      <c r="J84" s="132"/>
      <c r="K84" s="132"/>
      <c r="L84" s="132"/>
      <c r="M84" s="142"/>
      <c r="N84" s="142"/>
      <c r="O84" s="132"/>
      <c r="P84" s="132"/>
      <c r="Q84" s="143"/>
      <c r="R84" s="143"/>
      <c r="S84" s="143"/>
      <c r="T84" s="143"/>
      <c r="U84" s="143"/>
      <c r="V84" s="143"/>
      <c r="W84" s="143"/>
      <c r="X84" s="132"/>
      <c r="Y84" s="120"/>
    </row>
    <row r="85" spans="2:25" x14ac:dyDescent="0.2">
      <c r="C85" s="131"/>
      <c r="D85" s="123"/>
      <c r="E85" s="123"/>
      <c r="F85" s="123"/>
      <c r="G85" s="123"/>
      <c r="H85" s="123"/>
      <c r="I85" s="123" t="e">
        <f>SUM(I79:I83)</f>
        <v>#REF!</v>
      </c>
      <c r="J85" s="123" t="e">
        <f>SUM(J79:J83)</f>
        <v>#REF!</v>
      </c>
      <c r="K85" s="123" t="e">
        <f>SUM(K79:K83)</f>
        <v>#REF!</v>
      </c>
      <c r="L85" s="123">
        <f>SUM(L79:L83)</f>
        <v>0</v>
      </c>
      <c r="M85" s="123"/>
      <c r="N85" s="123"/>
      <c r="O85" s="123"/>
    </row>
  </sheetData>
  <mergeCells count="3">
    <mergeCell ref="N4:X4"/>
    <mergeCell ref="C8:X8"/>
    <mergeCell ref="B72:X72"/>
  </mergeCells>
  <phoneticPr fontId="0" type="noConversion"/>
  <pageMargins left="0.62" right="0.44" top="0.65" bottom="0.64" header="0.5" footer="0.5"/>
  <pageSetup scale="75" orientation="portrait" r:id="rId1"/>
  <headerFooter alignWithMargins="0"/>
  <ignoredErrors>
    <ignoredError sqref="W16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13313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47625</xdr:rowOff>
              </from>
              <to>
                <xdr:col>1</xdr:col>
                <xdr:colOff>228600</xdr:colOff>
                <xdr:row>1</xdr:row>
                <xdr:rowOff>19050</xdr:rowOff>
              </to>
            </anchor>
          </objectPr>
        </oleObject>
      </mc:Choice>
      <mc:Fallback>
        <oleObject progId="MSPhotoEd.3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4:S69"/>
  <sheetViews>
    <sheetView view="pageBreakPreview" topLeftCell="A7" zoomScaleNormal="90" zoomScaleSheetLayoutView="100" workbookViewId="0">
      <selection activeCell="K39" sqref="K39"/>
    </sheetView>
  </sheetViews>
  <sheetFormatPr defaultRowHeight="12.75" outlineLevelRow="1" x14ac:dyDescent="0.2"/>
  <cols>
    <col min="1" max="1" width="6.42578125" customWidth="1"/>
    <col min="2" max="2" width="42.85546875" customWidth="1"/>
    <col min="3" max="4" width="9.85546875" hidden="1" customWidth="1"/>
    <col min="5" max="5" width="10.85546875" hidden="1" customWidth="1"/>
    <col min="6" max="6" width="11.7109375" hidden="1" customWidth="1"/>
    <col min="7" max="8" width="9.7109375" customWidth="1"/>
    <col min="9" max="9" width="1.42578125" customWidth="1"/>
    <col min="10" max="11" width="10.140625" customWidth="1"/>
    <col min="12" max="12" width="10.85546875" customWidth="1"/>
  </cols>
  <sheetData>
    <row r="4" spans="1:16" ht="15" x14ac:dyDescent="0.25">
      <c r="C4" s="607" t="s">
        <v>207</v>
      </c>
      <c r="D4" s="607"/>
      <c r="E4" s="607"/>
      <c r="F4" s="607"/>
      <c r="G4" s="607"/>
      <c r="H4" s="607"/>
      <c r="I4" s="607"/>
      <c r="J4" s="607"/>
      <c r="K4" s="607"/>
      <c r="L4" s="607"/>
    </row>
    <row r="5" spans="1:16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6" ht="12.75" customHeight="1" x14ac:dyDescent="0.2">
      <c r="B7" s="24"/>
    </row>
    <row r="8" spans="1:16" ht="15.75" x14ac:dyDescent="0.25">
      <c r="A8" s="44" t="s">
        <v>209</v>
      </c>
      <c r="B8" s="605" t="s">
        <v>212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</row>
    <row r="9" spans="1:16" ht="12.75" customHeight="1" x14ac:dyDescent="0.25">
      <c r="A9" s="31"/>
      <c r="B9" s="13"/>
    </row>
    <row r="10" spans="1:16" x14ac:dyDescent="0.2">
      <c r="I10" s="2"/>
      <c r="J10" s="2"/>
      <c r="K10" s="2"/>
      <c r="L10" s="2"/>
      <c r="M10" s="19"/>
    </row>
    <row r="11" spans="1:16" x14ac:dyDescent="0.2">
      <c r="B11" s="8" t="s">
        <v>129</v>
      </c>
      <c r="C11" s="43">
        <v>2003</v>
      </c>
      <c r="D11" s="43">
        <v>2004</v>
      </c>
      <c r="E11" s="43">
        <v>2005</v>
      </c>
      <c r="F11" s="43">
        <v>2006</v>
      </c>
      <c r="G11" s="45">
        <v>2007</v>
      </c>
      <c r="H11" s="45">
        <v>2008</v>
      </c>
      <c r="I11" s="113"/>
      <c r="J11" s="112">
        <v>2009</v>
      </c>
      <c r="K11" s="112">
        <v>2010</v>
      </c>
      <c r="L11" s="112">
        <v>2011</v>
      </c>
      <c r="M11" s="43">
        <v>2012</v>
      </c>
      <c r="N11" s="64"/>
      <c r="O11" s="64"/>
      <c r="P11" s="64"/>
    </row>
    <row r="12" spans="1:16" x14ac:dyDescent="0.2">
      <c r="N12" s="19"/>
    </row>
    <row r="13" spans="1:16" ht="14.25" x14ac:dyDescent="0.2">
      <c r="B13" s="5" t="s">
        <v>130</v>
      </c>
      <c r="C13" s="23">
        <f t="shared" ref="C13:L13" si="0">SUM(C14:C15)</f>
        <v>24</v>
      </c>
      <c r="D13" s="23">
        <f t="shared" si="0"/>
        <v>41</v>
      </c>
      <c r="E13" s="23">
        <f t="shared" si="0"/>
        <v>61</v>
      </c>
      <c r="F13" s="23">
        <f t="shared" si="0"/>
        <v>81</v>
      </c>
      <c r="G13" s="23">
        <f t="shared" si="0"/>
        <v>115</v>
      </c>
      <c r="H13" s="23">
        <f t="shared" si="0"/>
        <v>135</v>
      </c>
      <c r="I13" s="94"/>
      <c r="J13" s="23">
        <f>SUM(J14:J15)</f>
        <v>91</v>
      </c>
      <c r="K13" s="23">
        <f>SUM(K14:K15)</f>
        <v>130</v>
      </c>
      <c r="L13" s="23">
        <f t="shared" si="0"/>
        <v>128</v>
      </c>
      <c r="M13" s="23"/>
      <c r="N13" s="19"/>
    </row>
    <row r="14" spans="1:16" ht="14.25" x14ac:dyDescent="0.2">
      <c r="B14" s="53" t="s">
        <v>131</v>
      </c>
      <c r="C14" s="22">
        <v>14</v>
      </c>
      <c r="D14" s="22">
        <v>25</v>
      </c>
      <c r="E14" s="22">
        <v>37</v>
      </c>
      <c r="F14" s="22">
        <v>49</v>
      </c>
      <c r="G14" s="22">
        <v>69</v>
      </c>
      <c r="H14" s="22">
        <v>60</v>
      </c>
      <c r="I14" s="94"/>
      <c r="J14" s="22">
        <v>42</v>
      </c>
      <c r="K14" s="22">
        <v>58</v>
      </c>
      <c r="L14" s="22">
        <v>47</v>
      </c>
      <c r="M14" s="22"/>
      <c r="N14" s="19"/>
    </row>
    <row r="15" spans="1:16" ht="14.25" x14ac:dyDescent="0.2">
      <c r="B15" s="53" t="s">
        <v>132</v>
      </c>
      <c r="C15" s="22">
        <v>10</v>
      </c>
      <c r="D15" s="22">
        <v>16</v>
      </c>
      <c r="E15" s="22">
        <v>24</v>
      </c>
      <c r="F15" s="22">
        <v>32</v>
      </c>
      <c r="G15" s="22">
        <v>46</v>
      </c>
      <c r="H15" s="22">
        <v>75</v>
      </c>
      <c r="I15" s="94"/>
      <c r="J15" s="22">
        <v>49</v>
      </c>
      <c r="K15" s="22">
        <v>72</v>
      </c>
      <c r="L15" s="22">
        <v>81</v>
      </c>
      <c r="M15" s="22"/>
      <c r="N15" s="19"/>
    </row>
    <row r="16" spans="1:16" x14ac:dyDescent="0.2">
      <c r="B16" s="3"/>
      <c r="C16" s="22"/>
      <c r="D16" s="22"/>
      <c r="E16" s="22"/>
      <c r="F16" s="22"/>
      <c r="G16" s="22"/>
      <c r="H16" s="22"/>
      <c r="I16" s="22"/>
      <c r="N16" s="19"/>
    </row>
    <row r="17" spans="2:17" ht="14.25" x14ac:dyDescent="0.2">
      <c r="B17" s="4" t="s">
        <v>120</v>
      </c>
      <c r="C17" s="23">
        <f t="shared" ref="C17:H17" si="1">SUM(C18:C19)</f>
        <v>600</v>
      </c>
      <c r="D17" s="23">
        <f t="shared" si="1"/>
        <v>604</v>
      </c>
      <c r="E17" s="23">
        <f t="shared" si="1"/>
        <v>576</v>
      </c>
      <c r="F17" s="23">
        <f t="shared" si="1"/>
        <v>642</v>
      </c>
      <c r="G17" s="23">
        <f t="shared" si="1"/>
        <v>814</v>
      </c>
      <c r="H17" s="23">
        <f t="shared" si="1"/>
        <v>742</v>
      </c>
      <c r="I17" s="94"/>
      <c r="J17" s="23">
        <f>SUM(J18:J19)</f>
        <v>837</v>
      </c>
      <c r="K17" s="23">
        <f>SUM(K18:K19)</f>
        <v>788</v>
      </c>
      <c r="L17" s="23">
        <f>SUM(L18:L19)</f>
        <v>772</v>
      </c>
      <c r="M17" s="23"/>
      <c r="N17" s="19"/>
    </row>
    <row r="18" spans="2:17" ht="14.25" x14ac:dyDescent="0.2">
      <c r="B18" s="53" t="s">
        <v>131</v>
      </c>
      <c r="C18" s="22">
        <v>390</v>
      </c>
      <c r="D18" s="22">
        <v>374</v>
      </c>
      <c r="E18" s="22">
        <v>340</v>
      </c>
      <c r="F18" s="22">
        <v>347</v>
      </c>
      <c r="G18" s="22">
        <v>342</v>
      </c>
      <c r="H18" s="22">
        <v>306</v>
      </c>
      <c r="I18" s="94"/>
      <c r="J18" s="22">
        <v>342</v>
      </c>
      <c r="K18" s="22">
        <v>340</v>
      </c>
      <c r="L18" s="22">
        <v>298</v>
      </c>
      <c r="M18" s="22"/>
      <c r="N18" s="19"/>
    </row>
    <row r="19" spans="2:17" ht="14.25" x14ac:dyDescent="0.2">
      <c r="B19" s="53" t="s">
        <v>132</v>
      </c>
      <c r="C19" s="22">
        <v>210</v>
      </c>
      <c r="D19" s="22">
        <v>230</v>
      </c>
      <c r="E19" s="22">
        <v>236</v>
      </c>
      <c r="F19" s="22">
        <v>295</v>
      </c>
      <c r="G19" s="22">
        <v>472</v>
      </c>
      <c r="H19" s="22">
        <v>436</v>
      </c>
      <c r="I19" s="94"/>
      <c r="J19" s="22">
        <v>495</v>
      </c>
      <c r="K19" s="22">
        <v>448</v>
      </c>
      <c r="L19" s="22">
        <v>474</v>
      </c>
      <c r="M19" s="22"/>
      <c r="N19" s="19"/>
    </row>
    <row r="20" spans="2:17" x14ac:dyDescent="0.2">
      <c r="B20" s="152" t="s">
        <v>219</v>
      </c>
      <c r="C20" s="22"/>
      <c r="D20" s="22"/>
      <c r="E20" s="22"/>
      <c r="F20" s="22"/>
      <c r="G20" s="22"/>
      <c r="H20" s="22"/>
      <c r="I20" s="22"/>
      <c r="N20" s="19"/>
      <c r="Q20" s="4"/>
    </row>
    <row r="21" spans="2:17" x14ac:dyDescent="0.2">
      <c r="B21" s="53"/>
      <c r="C21" s="22"/>
      <c r="D21" s="22"/>
      <c r="E21" s="22"/>
      <c r="F21" s="22"/>
      <c r="G21" s="22"/>
      <c r="H21" s="22"/>
      <c r="I21" s="22"/>
      <c r="N21" s="19"/>
      <c r="Q21" s="4"/>
    </row>
    <row r="22" spans="2:17" ht="14.25" x14ac:dyDescent="0.2">
      <c r="B22" s="70" t="s">
        <v>162</v>
      </c>
      <c r="C22" s="23">
        <f t="shared" ref="C22:H22" si="2">SUM(C23:C34)</f>
        <v>95</v>
      </c>
      <c r="D22" s="23">
        <f t="shared" si="2"/>
        <v>78</v>
      </c>
      <c r="E22" s="23">
        <f t="shared" si="2"/>
        <v>92</v>
      </c>
      <c r="F22" s="23">
        <f t="shared" si="2"/>
        <v>93</v>
      </c>
      <c r="G22" s="111">
        <f t="shared" si="2"/>
        <v>232</v>
      </c>
      <c r="H22" s="23">
        <f t="shared" si="2"/>
        <v>102</v>
      </c>
      <c r="I22" s="23"/>
      <c r="J22" s="23">
        <f>SUM(J23:J34)</f>
        <v>75</v>
      </c>
      <c r="K22" s="23">
        <f>SUM(K23:K34)</f>
        <v>68</v>
      </c>
      <c r="L22" s="23">
        <f>SUM(L23:L32)</f>
        <v>67</v>
      </c>
      <c r="M22" s="23"/>
      <c r="N22" s="62"/>
    </row>
    <row r="23" spans="2:17" x14ac:dyDescent="0.2">
      <c r="B23" s="53" t="s">
        <v>121</v>
      </c>
      <c r="C23" s="22">
        <v>21</v>
      </c>
      <c r="D23" s="22">
        <v>15</v>
      </c>
      <c r="E23" s="22">
        <v>21</v>
      </c>
      <c r="F23" s="22">
        <v>23</v>
      </c>
      <c r="G23" s="22">
        <v>46</v>
      </c>
      <c r="H23" s="22">
        <v>16</v>
      </c>
      <c r="I23" s="22"/>
      <c r="J23" s="22">
        <v>15</v>
      </c>
      <c r="K23" s="22">
        <v>8</v>
      </c>
      <c r="L23" s="22">
        <v>13</v>
      </c>
      <c r="M23" s="22"/>
      <c r="N23" s="62"/>
    </row>
    <row r="24" spans="2:17" hidden="1" x14ac:dyDescent="0.2">
      <c r="B24" s="52"/>
      <c r="C24" s="22"/>
      <c r="D24" s="22"/>
      <c r="E24" s="22"/>
      <c r="F24" s="22"/>
      <c r="G24" s="22"/>
      <c r="H24" s="22"/>
      <c r="I24" s="22"/>
      <c r="N24" s="62"/>
    </row>
    <row r="25" spans="2:17" hidden="1" x14ac:dyDescent="0.2">
      <c r="B25" s="52"/>
      <c r="C25" s="22"/>
      <c r="D25" s="22"/>
      <c r="E25" s="22"/>
      <c r="F25" s="22"/>
      <c r="G25" s="22"/>
      <c r="H25" s="22"/>
      <c r="I25" s="22"/>
      <c r="N25" s="62"/>
    </row>
    <row r="26" spans="2:17" x14ac:dyDescent="0.2">
      <c r="B26" s="53" t="s">
        <v>122</v>
      </c>
      <c r="C26" s="22">
        <v>16</v>
      </c>
      <c r="D26" s="22">
        <v>17</v>
      </c>
      <c r="E26" s="22">
        <v>18</v>
      </c>
      <c r="F26" s="22">
        <v>22</v>
      </c>
      <c r="G26" s="22">
        <v>38</v>
      </c>
      <c r="H26" s="22">
        <v>14</v>
      </c>
      <c r="I26" s="22"/>
      <c r="J26" s="22">
        <v>11</v>
      </c>
      <c r="K26" s="22">
        <v>14</v>
      </c>
      <c r="L26" s="22">
        <v>15</v>
      </c>
      <c r="M26" s="22"/>
      <c r="N26" s="62"/>
    </row>
    <row r="27" spans="2:17" x14ac:dyDescent="0.2">
      <c r="B27" s="53" t="s">
        <v>123</v>
      </c>
      <c r="C27" s="22">
        <v>0</v>
      </c>
      <c r="D27" s="22">
        <v>0</v>
      </c>
      <c r="E27" s="22">
        <v>19</v>
      </c>
      <c r="F27" s="22">
        <v>14</v>
      </c>
      <c r="G27" s="22">
        <v>39</v>
      </c>
      <c r="H27" s="22">
        <v>19</v>
      </c>
      <c r="I27" s="22"/>
      <c r="J27" s="22" t="s">
        <v>109</v>
      </c>
      <c r="K27" s="22" t="s">
        <v>109</v>
      </c>
      <c r="L27" s="22">
        <v>12</v>
      </c>
      <c r="M27" s="22"/>
      <c r="N27" s="62"/>
    </row>
    <row r="28" spans="2:17" hidden="1" x14ac:dyDescent="0.2">
      <c r="B28" s="52"/>
      <c r="C28" s="22"/>
      <c r="D28" s="22"/>
      <c r="E28" s="22"/>
      <c r="F28" s="22"/>
      <c r="G28" s="22"/>
      <c r="H28" s="22"/>
      <c r="I28" s="22"/>
      <c r="N28" s="62"/>
    </row>
    <row r="29" spans="2:17" hidden="1" x14ac:dyDescent="0.2">
      <c r="B29" s="52"/>
      <c r="C29" s="22"/>
      <c r="D29" s="22"/>
      <c r="E29" s="22"/>
      <c r="F29" s="22"/>
      <c r="G29" s="22"/>
      <c r="H29" s="22"/>
      <c r="I29" s="22"/>
      <c r="N29" s="62"/>
    </row>
    <row r="30" spans="2:17" x14ac:dyDescent="0.2">
      <c r="B30" s="53" t="s">
        <v>124</v>
      </c>
      <c r="C30" s="22">
        <v>19</v>
      </c>
      <c r="D30" s="22">
        <v>15</v>
      </c>
      <c r="E30" s="22">
        <v>7</v>
      </c>
      <c r="F30" s="22">
        <v>13</v>
      </c>
      <c r="G30" s="22">
        <v>44</v>
      </c>
      <c r="H30" s="22">
        <v>16</v>
      </c>
      <c r="I30" s="22"/>
      <c r="J30" s="22">
        <v>16</v>
      </c>
      <c r="K30" s="22">
        <v>17</v>
      </c>
      <c r="L30" s="22">
        <v>10</v>
      </c>
      <c r="M30" s="22"/>
      <c r="N30" s="62"/>
    </row>
    <row r="31" spans="2:17" hidden="1" x14ac:dyDescent="0.2">
      <c r="B31" s="6" t="s">
        <v>25</v>
      </c>
      <c r="C31" s="22"/>
      <c r="D31" s="22"/>
      <c r="E31" s="22"/>
      <c r="F31" s="22"/>
      <c r="G31" s="22"/>
      <c r="H31" s="22"/>
      <c r="I31" s="22"/>
      <c r="L31" s="22">
        <v>7</v>
      </c>
      <c r="N31" s="62"/>
    </row>
    <row r="32" spans="2:17" hidden="1" x14ac:dyDescent="0.2">
      <c r="B32" s="6" t="s">
        <v>26</v>
      </c>
      <c r="C32" s="22"/>
      <c r="D32" s="22"/>
      <c r="E32" s="22"/>
      <c r="F32" s="22"/>
      <c r="G32" s="22"/>
      <c r="H32" s="22"/>
      <c r="I32" s="22"/>
      <c r="L32" s="22">
        <v>10</v>
      </c>
      <c r="N32" s="62"/>
    </row>
    <row r="33" spans="2:14" x14ac:dyDescent="0.2">
      <c r="B33" s="53" t="s">
        <v>36</v>
      </c>
      <c r="C33" s="22">
        <v>17</v>
      </c>
      <c r="D33" s="22">
        <v>15</v>
      </c>
      <c r="E33" s="22">
        <v>17</v>
      </c>
      <c r="F33" s="22">
        <v>21</v>
      </c>
      <c r="G33" s="22">
        <v>50</v>
      </c>
      <c r="H33" s="22">
        <v>31</v>
      </c>
      <c r="I33" s="22"/>
      <c r="J33" s="22">
        <v>20</v>
      </c>
      <c r="K33" s="22">
        <v>21</v>
      </c>
      <c r="L33" s="277">
        <v>7</v>
      </c>
      <c r="M33" s="22"/>
      <c r="N33" s="62"/>
    </row>
    <row r="34" spans="2:14" x14ac:dyDescent="0.2">
      <c r="B34" s="53" t="s">
        <v>133</v>
      </c>
      <c r="C34" s="22">
        <v>22</v>
      </c>
      <c r="D34" s="22">
        <v>16</v>
      </c>
      <c r="E34" s="22">
        <v>10</v>
      </c>
      <c r="F34" s="22" t="s">
        <v>109</v>
      </c>
      <c r="G34" s="22">
        <v>15</v>
      </c>
      <c r="H34" s="22">
        <v>6</v>
      </c>
      <c r="I34" s="22"/>
      <c r="J34" s="22">
        <v>13</v>
      </c>
      <c r="K34" s="22">
        <v>8</v>
      </c>
      <c r="L34" s="277">
        <v>10</v>
      </c>
      <c r="M34" s="22"/>
      <c r="N34" s="62"/>
    </row>
    <row r="35" spans="2:14" x14ac:dyDescent="0.2">
      <c r="B35" s="152" t="s">
        <v>180</v>
      </c>
      <c r="C35" s="22"/>
      <c r="D35" s="22"/>
      <c r="E35" s="22"/>
      <c r="F35" s="22"/>
      <c r="G35" s="22"/>
      <c r="H35" s="22"/>
      <c r="I35" s="22"/>
      <c r="J35" s="22"/>
      <c r="K35" s="22"/>
      <c r="M35" s="22"/>
      <c r="N35" s="62"/>
    </row>
    <row r="36" spans="2:14" x14ac:dyDescent="0.2">
      <c r="B36" s="18"/>
      <c r="N36" s="62"/>
    </row>
    <row r="37" spans="2:14" ht="14.25" x14ac:dyDescent="0.2">
      <c r="B37" s="36" t="s">
        <v>163</v>
      </c>
      <c r="C37" s="23">
        <f t="shared" ref="C37:L37" si="3">SUM(C38:C43)</f>
        <v>46</v>
      </c>
      <c r="D37" s="23">
        <f t="shared" si="3"/>
        <v>63</v>
      </c>
      <c r="E37" s="23">
        <f t="shared" si="3"/>
        <v>41</v>
      </c>
      <c r="F37" s="23">
        <f t="shared" si="3"/>
        <v>60</v>
      </c>
      <c r="G37" s="23">
        <f t="shared" si="3"/>
        <v>58</v>
      </c>
      <c r="H37" s="23">
        <f>SUM(H38:H43)</f>
        <v>34</v>
      </c>
      <c r="I37" s="23"/>
      <c r="J37" s="23">
        <f>SUM(J38:J43)</f>
        <v>12</v>
      </c>
      <c r="K37" s="23">
        <f>SUM(K38:K43)</f>
        <v>33</v>
      </c>
      <c r="L37" s="23">
        <f t="shared" si="3"/>
        <v>39</v>
      </c>
      <c r="M37" s="23"/>
      <c r="N37" s="62"/>
    </row>
    <row r="38" spans="2:14" x14ac:dyDescent="0.2">
      <c r="B38" s="53" t="s">
        <v>125</v>
      </c>
      <c r="C38" s="22">
        <v>7</v>
      </c>
      <c r="D38" s="22">
        <v>22</v>
      </c>
      <c r="E38" s="22">
        <v>11</v>
      </c>
      <c r="F38" s="22">
        <v>11</v>
      </c>
      <c r="G38" s="22">
        <v>16</v>
      </c>
      <c r="H38" s="22">
        <v>3</v>
      </c>
      <c r="I38" s="22"/>
      <c r="J38" s="22" t="s">
        <v>109</v>
      </c>
      <c r="K38" s="22" t="s">
        <v>109</v>
      </c>
      <c r="L38" s="22" t="s">
        <v>109</v>
      </c>
      <c r="M38" s="22"/>
      <c r="N38" s="62"/>
    </row>
    <row r="39" spans="2:14" x14ac:dyDescent="0.2">
      <c r="B39" s="53" t="s">
        <v>134</v>
      </c>
      <c r="C39" s="22">
        <v>16</v>
      </c>
      <c r="D39" s="22">
        <v>11</v>
      </c>
      <c r="E39" s="22">
        <v>8</v>
      </c>
      <c r="F39" s="22">
        <v>8</v>
      </c>
      <c r="G39" s="22">
        <v>1</v>
      </c>
      <c r="H39" s="22" t="s">
        <v>109</v>
      </c>
      <c r="I39" s="110"/>
      <c r="J39" s="22" t="s">
        <v>109</v>
      </c>
      <c r="K39" s="22" t="s">
        <v>109</v>
      </c>
      <c r="L39" s="22" t="s">
        <v>109</v>
      </c>
      <c r="M39" s="22"/>
      <c r="N39" s="62"/>
    </row>
    <row r="40" spans="2:14" x14ac:dyDescent="0.2">
      <c r="B40" s="53" t="s">
        <v>126</v>
      </c>
      <c r="C40" s="22">
        <v>0</v>
      </c>
      <c r="D40" s="22">
        <v>3</v>
      </c>
      <c r="E40" s="22">
        <v>0</v>
      </c>
      <c r="F40" s="22">
        <v>13</v>
      </c>
      <c r="G40" s="22">
        <v>4</v>
      </c>
      <c r="H40" s="22">
        <v>10</v>
      </c>
      <c r="I40" s="22"/>
      <c r="J40" s="22" t="s">
        <v>109</v>
      </c>
      <c r="K40" s="22">
        <v>4</v>
      </c>
      <c r="L40" s="22">
        <v>10</v>
      </c>
      <c r="M40" s="22"/>
      <c r="N40" s="62"/>
    </row>
    <row r="41" spans="2:14" x14ac:dyDescent="0.2">
      <c r="B41" s="53" t="s">
        <v>127</v>
      </c>
      <c r="C41" s="22">
        <v>13</v>
      </c>
      <c r="D41" s="22">
        <v>17</v>
      </c>
      <c r="E41" s="22">
        <v>18</v>
      </c>
      <c r="F41" s="22">
        <v>24</v>
      </c>
      <c r="G41" s="22">
        <v>37</v>
      </c>
      <c r="H41" s="22">
        <v>16</v>
      </c>
      <c r="I41" s="22"/>
      <c r="J41" s="22">
        <v>12</v>
      </c>
      <c r="K41" s="22">
        <v>29</v>
      </c>
      <c r="L41" s="22">
        <v>29</v>
      </c>
      <c r="M41" s="22"/>
      <c r="N41" s="62"/>
    </row>
    <row r="42" spans="2:14" x14ac:dyDescent="0.2">
      <c r="B42" s="53" t="s">
        <v>128</v>
      </c>
      <c r="C42" s="22">
        <v>10</v>
      </c>
      <c r="D42" s="22">
        <v>10</v>
      </c>
      <c r="E42" s="22">
        <v>4</v>
      </c>
      <c r="F42" s="22" t="s">
        <v>109</v>
      </c>
      <c r="G42" s="22" t="s">
        <v>109</v>
      </c>
      <c r="H42" s="22">
        <v>5</v>
      </c>
      <c r="I42" s="22"/>
      <c r="J42" s="22" t="s">
        <v>109</v>
      </c>
      <c r="K42" s="22" t="s">
        <v>109</v>
      </c>
      <c r="L42" s="22" t="s">
        <v>109</v>
      </c>
      <c r="M42" s="22"/>
      <c r="N42" s="62"/>
    </row>
    <row r="43" spans="2:14" x14ac:dyDescent="0.2">
      <c r="B43" s="53"/>
      <c r="C43" s="22">
        <v>0</v>
      </c>
      <c r="D43" s="22">
        <v>0</v>
      </c>
      <c r="E43" s="22">
        <v>0</v>
      </c>
      <c r="F43" s="22">
        <v>4</v>
      </c>
      <c r="G43" s="22" t="s">
        <v>109</v>
      </c>
      <c r="H43" s="22" t="s">
        <v>109</v>
      </c>
      <c r="I43" s="22"/>
      <c r="N43" s="62"/>
    </row>
    <row r="44" spans="2:14" x14ac:dyDescent="0.2">
      <c r="B44" s="53"/>
      <c r="C44" s="22"/>
      <c r="D44" s="22"/>
      <c r="E44" s="22"/>
      <c r="F44" s="22"/>
      <c r="G44" s="22"/>
      <c r="H44" s="22"/>
      <c r="I44" s="22"/>
      <c r="N44" s="62"/>
    </row>
    <row r="45" spans="2:14" ht="14.25" x14ac:dyDescent="0.2">
      <c r="B45" s="96" t="s">
        <v>164</v>
      </c>
      <c r="C45" s="22"/>
      <c r="D45" s="22"/>
      <c r="E45" s="22"/>
      <c r="F45" s="22"/>
      <c r="G45" s="22"/>
      <c r="H45" s="23">
        <f>SUM(H46:H49)</f>
        <v>83</v>
      </c>
      <c r="I45" s="23"/>
      <c r="J45" s="23">
        <f>SUM(J46:J49)</f>
        <v>136</v>
      </c>
      <c r="K45" s="23">
        <f>SUM(K46:K49)</f>
        <v>64</v>
      </c>
      <c r="L45" s="23">
        <f>SUM(L46:L49)</f>
        <v>27</v>
      </c>
      <c r="M45" s="23"/>
      <c r="N45" s="62"/>
    </row>
    <row r="46" spans="2:14" ht="14.25" x14ac:dyDescent="0.2">
      <c r="B46" s="53" t="s">
        <v>39</v>
      </c>
      <c r="C46" s="109" t="s">
        <v>108</v>
      </c>
      <c r="D46" s="109" t="s">
        <v>108</v>
      </c>
      <c r="E46" s="109" t="s">
        <v>108</v>
      </c>
      <c r="F46" s="109" t="s">
        <v>108</v>
      </c>
      <c r="G46" s="109" t="s">
        <v>108</v>
      </c>
      <c r="H46" s="22">
        <v>6</v>
      </c>
      <c r="I46" s="22"/>
      <c r="J46" s="22">
        <v>6</v>
      </c>
      <c r="K46" s="22">
        <v>9</v>
      </c>
      <c r="L46" s="22">
        <v>13</v>
      </c>
      <c r="M46" s="22"/>
      <c r="N46" s="62"/>
    </row>
    <row r="47" spans="2:14" ht="14.25" x14ac:dyDescent="0.2">
      <c r="B47" s="53" t="s">
        <v>141</v>
      </c>
      <c r="C47" s="109" t="s">
        <v>108</v>
      </c>
      <c r="D47" s="109" t="s">
        <v>108</v>
      </c>
      <c r="E47" s="109" t="s">
        <v>108</v>
      </c>
      <c r="F47" s="109" t="s">
        <v>108</v>
      </c>
      <c r="G47" s="109" t="s">
        <v>108</v>
      </c>
      <c r="H47" s="148">
        <v>8</v>
      </c>
      <c r="I47" s="22"/>
      <c r="J47" s="148">
        <v>12</v>
      </c>
      <c r="K47" s="148">
        <v>10</v>
      </c>
      <c r="L47" s="148">
        <v>0</v>
      </c>
      <c r="M47" s="148"/>
      <c r="N47" s="62"/>
    </row>
    <row r="48" spans="2:14" ht="14.25" x14ac:dyDescent="0.2">
      <c r="B48" s="53" t="s">
        <v>142</v>
      </c>
      <c r="C48" s="109" t="s">
        <v>108</v>
      </c>
      <c r="D48" s="109" t="s">
        <v>108</v>
      </c>
      <c r="E48" s="109" t="s">
        <v>108</v>
      </c>
      <c r="F48" s="109" t="s">
        <v>108</v>
      </c>
      <c r="G48" s="109" t="s">
        <v>108</v>
      </c>
      <c r="H48" s="22">
        <v>42</v>
      </c>
      <c r="I48" s="22"/>
      <c r="J48" s="22">
        <v>101</v>
      </c>
      <c r="K48" s="22">
        <v>30</v>
      </c>
      <c r="L48" s="22">
        <v>0</v>
      </c>
      <c r="M48" s="22"/>
    </row>
    <row r="49" spans="1:19" ht="14.25" x14ac:dyDescent="0.2">
      <c r="B49" s="53" t="s">
        <v>144</v>
      </c>
      <c r="C49" s="109" t="s">
        <v>108</v>
      </c>
      <c r="D49" s="109" t="s">
        <v>108</v>
      </c>
      <c r="E49" s="109" t="s">
        <v>108</v>
      </c>
      <c r="F49" s="109" t="s">
        <v>108</v>
      </c>
      <c r="G49" s="109" t="s">
        <v>108</v>
      </c>
      <c r="H49" s="22">
        <v>27</v>
      </c>
      <c r="I49" s="22"/>
      <c r="J49" s="22">
        <v>17</v>
      </c>
      <c r="K49" s="22">
        <v>15</v>
      </c>
      <c r="L49" s="22">
        <v>14</v>
      </c>
      <c r="M49" s="22"/>
      <c r="N49" s="98">
        <f>(C13+C17+C22+C37+C51)</f>
        <v>1694</v>
      </c>
      <c r="O49" s="98">
        <f>(D13+D17+D22+D37+D51)</f>
        <v>1558</v>
      </c>
      <c r="P49" s="98">
        <f>(E13+E17+E22+E37+E51)</f>
        <v>1313</v>
      </c>
      <c r="Q49" s="98">
        <f>(F13+F17+F22+F37+F51)</f>
        <v>1650</v>
      </c>
      <c r="R49" s="98">
        <f>(H13+H17+H22+H37+H51)</f>
        <v>1122</v>
      </c>
      <c r="S49" s="98" t="s">
        <v>24</v>
      </c>
    </row>
    <row r="50" spans="1:19" x14ac:dyDescent="0.2">
      <c r="N50" s="62"/>
      <c r="O50" s="99">
        <f>((O49-N49)/N49)*100</f>
        <v>-8.0283353010625742</v>
      </c>
      <c r="P50" s="99">
        <f>((P49-O49)/O49)*100</f>
        <v>-15.725288831835687</v>
      </c>
      <c r="Q50" s="99">
        <f>((Q49-P49)/P49)*100</f>
        <v>25.666412795125666</v>
      </c>
      <c r="R50" s="99">
        <f>((R49-Q49)/Q49)*100</f>
        <v>-32</v>
      </c>
      <c r="S50" t="s">
        <v>138</v>
      </c>
    </row>
    <row r="51" spans="1:19" ht="14.25" x14ac:dyDescent="0.2">
      <c r="B51" s="96" t="s">
        <v>165</v>
      </c>
      <c r="C51" s="22">
        <v>929</v>
      </c>
      <c r="D51" s="22">
        <v>772</v>
      </c>
      <c r="E51" s="22">
        <v>543</v>
      </c>
      <c r="F51" s="23">
        <v>774</v>
      </c>
      <c r="G51" s="23">
        <v>760</v>
      </c>
      <c r="H51" s="23">
        <v>109</v>
      </c>
      <c r="I51" s="145">
        <v>5</v>
      </c>
      <c r="J51" s="23">
        <v>144</v>
      </c>
      <c r="K51" s="23">
        <v>106</v>
      </c>
      <c r="L51" s="23">
        <v>101</v>
      </c>
      <c r="M51" s="23"/>
      <c r="N51" s="62"/>
    </row>
    <row r="52" spans="1:19" x14ac:dyDescent="0.2">
      <c r="B52" s="95"/>
      <c r="C52" s="93"/>
      <c r="D52" s="93"/>
      <c r="E52" s="93"/>
      <c r="F52" s="93"/>
      <c r="G52" s="71"/>
      <c r="H52" s="71"/>
      <c r="I52" s="71"/>
      <c r="J52" s="71"/>
      <c r="K52" s="2"/>
      <c r="L52" s="2"/>
      <c r="M52" s="2"/>
      <c r="N52" s="62"/>
    </row>
    <row r="53" spans="1:19" x14ac:dyDescent="0.2">
      <c r="B53" s="70" t="s">
        <v>118</v>
      </c>
      <c r="C53" s="97"/>
      <c r="D53" s="97"/>
      <c r="E53" s="97"/>
      <c r="F53" s="97"/>
      <c r="G53" s="73"/>
      <c r="H53" s="73"/>
      <c r="I53" s="73"/>
      <c r="J53" s="73"/>
      <c r="K53" s="73"/>
      <c r="L53" s="73"/>
      <c r="M53" s="62"/>
      <c r="N53" s="62"/>
    </row>
    <row r="54" spans="1:19" ht="14.25" x14ac:dyDescent="0.2">
      <c r="A54" s="57">
        <v>1</v>
      </c>
      <c r="B54" t="s">
        <v>152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62"/>
      <c r="N54" s="62"/>
    </row>
    <row r="55" spans="1:19" ht="14.25" x14ac:dyDescent="0.2">
      <c r="A55" s="57"/>
      <c r="B55" t="s">
        <v>151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62"/>
      <c r="N55" s="62"/>
    </row>
    <row r="56" spans="1:19" ht="14.25" x14ac:dyDescent="0.2">
      <c r="A56" s="57">
        <v>2</v>
      </c>
      <c r="B56" s="54" t="s">
        <v>135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62"/>
      <c r="N56" s="62"/>
    </row>
    <row r="57" spans="1:19" ht="14.25" x14ac:dyDescent="0.2">
      <c r="A57" s="57">
        <v>3</v>
      </c>
      <c r="B57" t="s">
        <v>146</v>
      </c>
      <c r="C57" s="65"/>
      <c r="D57" s="28"/>
      <c r="E57" s="28"/>
      <c r="F57" s="28"/>
      <c r="G57" s="28"/>
      <c r="H57" s="28"/>
      <c r="I57" s="28"/>
      <c r="J57" s="28"/>
      <c r="K57" s="28"/>
      <c r="L57" s="28"/>
      <c r="M57" s="62"/>
      <c r="N57" s="62"/>
      <c r="Q57" s="18"/>
    </row>
    <row r="58" spans="1:19" ht="26.25" customHeight="1" x14ac:dyDescent="0.2">
      <c r="A58" s="147">
        <v>4</v>
      </c>
      <c r="B58" s="608" t="s">
        <v>170</v>
      </c>
      <c r="C58" s="608"/>
      <c r="D58" s="608"/>
      <c r="E58" s="608"/>
      <c r="F58" s="608"/>
      <c r="G58" s="608"/>
      <c r="H58" s="608"/>
      <c r="I58" s="608"/>
      <c r="J58" s="608"/>
      <c r="K58" s="608"/>
      <c r="L58" s="608"/>
      <c r="M58" s="62"/>
      <c r="N58" s="62"/>
      <c r="Q58" s="18"/>
    </row>
    <row r="59" spans="1:19" ht="14.25" x14ac:dyDescent="0.2">
      <c r="A59" s="57">
        <v>5</v>
      </c>
      <c r="B59" s="15" t="s">
        <v>171</v>
      </c>
      <c r="D59" s="65"/>
      <c r="E59" s="65"/>
      <c r="F59" s="65"/>
      <c r="G59" s="65"/>
      <c r="H59" s="65"/>
      <c r="I59" s="65"/>
      <c r="J59" s="65"/>
      <c r="K59" s="65"/>
      <c r="L59" s="65"/>
      <c r="M59" s="62"/>
      <c r="N59" s="62"/>
    </row>
    <row r="60" spans="1:19" ht="14.25" x14ac:dyDescent="0.2">
      <c r="A60" s="57"/>
      <c r="C60" s="28"/>
      <c r="D60" s="28"/>
      <c r="E60" s="28"/>
      <c r="F60" s="28"/>
      <c r="G60" s="69"/>
      <c r="H60" s="69"/>
      <c r="I60" s="69"/>
      <c r="J60" s="69"/>
      <c r="K60" s="69"/>
      <c r="L60" s="69"/>
      <c r="M60" s="62"/>
      <c r="N60" s="62"/>
    </row>
    <row r="61" spans="1:19" x14ac:dyDescent="0.2">
      <c r="B61" s="150" t="s">
        <v>176</v>
      </c>
      <c r="C61" s="68"/>
      <c r="D61" s="68"/>
      <c r="G61" s="69"/>
      <c r="H61" s="69"/>
      <c r="I61" s="69"/>
      <c r="J61" s="69"/>
      <c r="K61" s="69"/>
      <c r="L61" s="69"/>
      <c r="M61" s="62"/>
      <c r="N61" s="62"/>
    </row>
    <row r="62" spans="1:19" x14ac:dyDescent="0.2">
      <c r="B62" s="59"/>
      <c r="C62" s="68"/>
      <c r="D62" s="68"/>
      <c r="G62" s="69"/>
      <c r="H62" s="69"/>
      <c r="I62" s="69"/>
      <c r="J62" s="69"/>
      <c r="K62" s="69"/>
      <c r="L62" s="69"/>
      <c r="M62" s="62"/>
      <c r="N62" s="62"/>
    </row>
    <row r="63" spans="1:19" x14ac:dyDescent="0.2">
      <c r="B63" s="59"/>
      <c r="C63" s="68"/>
      <c r="D63" s="68"/>
      <c r="G63" s="69"/>
      <c r="H63" s="69"/>
      <c r="I63" s="69"/>
      <c r="J63" s="69"/>
      <c r="K63" s="69"/>
      <c r="L63" s="69"/>
      <c r="M63" s="62"/>
      <c r="N63" s="62"/>
    </row>
    <row r="64" spans="1:19" ht="14.25" x14ac:dyDescent="0.2">
      <c r="C64" s="65"/>
      <c r="D64" s="65"/>
      <c r="E64" s="65"/>
      <c r="F64" s="65"/>
      <c r="G64" s="69"/>
      <c r="H64" s="69"/>
      <c r="I64" s="69"/>
      <c r="J64" s="69"/>
      <c r="K64" s="69"/>
      <c r="L64" s="69"/>
      <c r="M64" s="62"/>
      <c r="N64" s="62"/>
    </row>
    <row r="65" spans="1:14" x14ac:dyDescent="0.2">
      <c r="B65" s="18"/>
      <c r="C65" s="68"/>
      <c r="D65" s="68"/>
      <c r="M65" s="62"/>
      <c r="N65" s="62"/>
    </row>
    <row r="66" spans="1:14" outlineLevel="1" x14ac:dyDescent="0.2">
      <c r="M66" s="18"/>
    </row>
    <row r="67" spans="1:14" x14ac:dyDescent="0.2">
      <c r="A67" s="11"/>
      <c r="B67" s="11"/>
      <c r="C67" s="11"/>
      <c r="D67" s="11"/>
      <c r="E67" s="11"/>
      <c r="F67" s="37"/>
      <c r="G67" s="37"/>
      <c r="H67" s="37"/>
      <c r="I67" s="37"/>
      <c r="J67" s="37"/>
      <c r="K67" s="37"/>
      <c r="L67" s="37"/>
      <c r="M67" s="63"/>
      <c r="N67" s="63"/>
    </row>
    <row r="68" spans="1:14" s="58" customFormat="1" ht="9" customHeight="1" x14ac:dyDescent="0.2"/>
    <row r="69" spans="1:14" x14ac:dyDescent="0.2">
      <c r="A69" s="604" t="e">
        <f>'Rec Exp work(.05)'!B72:X72+1</f>
        <v>#VALUE!</v>
      </c>
      <c r="B69" s="604"/>
      <c r="C69" s="604"/>
      <c r="D69" s="604"/>
      <c r="E69" s="604"/>
      <c r="F69" s="604"/>
      <c r="G69" s="604"/>
      <c r="H69" s="604"/>
      <c r="I69" s="604"/>
      <c r="J69" s="604"/>
      <c r="K69" s="604"/>
      <c r="L69" s="604"/>
      <c r="M69" s="60"/>
    </row>
  </sheetData>
  <mergeCells count="4">
    <mergeCell ref="B8:L8"/>
    <mergeCell ref="A69:L69"/>
    <mergeCell ref="C4:L4"/>
    <mergeCell ref="B58:L58"/>
  </mergeCells>
  <phoneticPr fontId="0" type="noConversion"/>
  <pageMargins left="0.9" right="0.9" top="1" bottom="1" header="0.52" footer="0.5"/>
  <pageSetup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323850</xdr:colOff>
                <xdr:row>0</xdr:row>
                <xdr:rowOff>152400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4:T79"/>
  <sheetViews>
    <sheetView view="pageBreakPreview" zoomScaleNormal="90" workbookViewId="0">
      <selection activeCell="N11" sqref="N11"/>
    </sheetView>
  </sheetViews>
  <sheetFormatPr defaultRowHeight="12.75" outlineLevelRow="1" outlineLevelCol="1" x14ac:dyDescent="0.2"/>
  <cols>
    <col min="1" max="1" width="6.42578125" customWidth="1"/>
    <col min="2" max="2" width="37.42578125" customWidth="1"/>
    <col min="3" max="4" width="7.7109375" hidden="1" customWidth="1" outlineLevel="1"/>
    <col min="5" max="5" width="7.7109375" hidden="1" customWidth="1" collapsed="1"/>
    <col min="6" max="15" width="7.7109375" customWidth="1"/>
    <col min="16" max="16" width="7.42578125" customWidth="1"/>
  </cols>
  <sheetData>
    <row r="4" spans="1:18" ht="15" x14ac:dyDescent="0.25">
      <c r="K4" s="3"/>
      <c r="L4" s="3"/>
      <c r="M4" s="3"/>
      <c r="N4" s="3"/>
      <c r="O4" s="72" t="s">
        <v>111</v>
      </c>
    </row>
    <row r="5" spans="1:18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7" spans="1:18" ht="14.25" x14ac:dyDescent="0.2">
      <c r="B7" s="24"/>
    </row>
    <row r="8" spans="1:18" ht="18.75" x14ac:dyDescent="0.25">
      <c r="A8" s="31" t="s">
        <v>103</v>
      </c>
      <c r="B8" s="606" t="s">
        <v>136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</row>
    <row r="9" spans="1:18" ht="15.75" x14ac:dyDescent="0.25">
      <c r="A9" s="31"/>
      <c r="B9" s="13"/>
      <c r="C9" s="13"/>
      <c r="D9" s="11"/>
      <c r="E9" s="11"/>
      <c r="F9" s="11"/>
      <c r="G9" s="11"/>
      <c r="H9" s="11"/>
    </row>
    <row r="10" spans="1:18" x14ac:dyDescent="0.2">
      <c r="P10" s="19"/>
      <c r="Q10" s="19"/>
    </row>
    <row r="11" spans="1:18" x14ac:dyDescent="0.2">
      <c r="B11" s="8"/>
      <c r="C11" s="8">
        <v>1991</v>
      </c>
      <c r="D11" s="8">
        <v>1992</v>
      </c>
      <c r="E11" s="35">
        <v>1993</v>
      </c>
      <c r="F11" s="35">
        <v>1994</v>
      </c>
      <c r="G11" s="35">
        <v>1995</v>
      </c>
      <c r="H11" s="35">
        <v>1996</v>
      </c>
      <c r="I11" s="35">
        <v>1997</v>
      </c>
      <c r="J11" s="35">
        <v>1998</v>
      </c>
      <c r="K11" s="35">
        <v>1999</v>
      </c>
      <c r="L11" s="43">
        <v>2000</v>
      </c>
      <c r="M11" s="43">
        <v>2001</v>
      </c>
      <c r="N11" s="43">
        <v>2002</v>
      </c>
      <c r="O11" s="45">
        <v>2003</v>
      </c>
      <c r="P11" s="46"/>
      <c r="Q11" s="64"/>
      <c r="R11" s="64"/>
    </row>
    <row r="12" spans="1:18" x14ac:dyDescent="0.2">
      <c r="C12" s="39"/>
      <c r="D12" s="39"/>
      <c r="E12" s="40"/>
      <c r="F12" s="40"/>
      <c r="G12" s="40"/>
      <c r="H12" s="40"/>
      <c r="P12" s="19"/>
      <c r="Q12" s="19"/>
      <c r="R12" s="19"/>
    </row>
    <row r="13" spans="1:18" x14ac:dyDescent="0.2">
      <c r="B13" s="5" t="s">
        <v>42</v>
      </c>
      <c r="P13" s="19"/>
      <c r="Q13" s="19"/>
      <c r="R13" s="19"/>
    </row>
    <row r="14" spans="1:18" x14ac:dyDescent="0.2">
      <c r="P14" s="19"/>
      <c r="Q14" s="19"/>
      <c r="R14" s="19"/>
    </row>
    <row r="15" spans="1:18" ht="14.25" x14ac:dyDescent="0.2">
      <c r="B15" s="53" t="s">
        <v>35</v>
      </c>
      <c r="C15" s="16">
        <v>34</v>
      </c>
      <c r="D15" s="14">
        <v>36</v>
      </c>
      <c r="E15" s="14">
        <v>39</v>
      </c>
      <c r="F15" s="14">
        <v>37</v>
      </c>
      <c r="G15" s="67" t="s">
        <v>109</v>
      </c>
      <c r="H15" s="14">
        <v>24</v>
      </c>
      <c r="I15" s="14">
        <v>23</v>
      </c>
      <c r="J15" s="14">
        <v>31</v>
      </c>
      <c r="K15" s="14">
        <v>33</v>
      </c>
      <c r="L15" s="14">
        <v>34</v>
      </c>
      <c r="M15" s="14">
        <v>36</v>
      </c>
      <c r="N15" s="14">
        <v>56</v>
      </c>
      <c r="O15" s="14">
        <v>41</v>
      </c>
      <c r="P15" s="62"/>
      <c r="Q15" s="62"/>
      <c r="R15" s="62"/>
    </row>
    <row r="16" spans="1:18" x14ac:dyDescent="0.2">
      <c r="B16" s="51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P16" s="62"/>
      <c r="Q16" s="62"/>
      <c r="R16" s="62"/>
    </row>
    <row r="17" spans="2:18" hidden="1" x14ac:dyDescent="0.2">
      <c r="B17" s="52" t="s">
        <v>25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P17" s="62"/>
      <c r="Q17" s="62"/>
      <c r="R17" s="62"/>
    </row>
    <row r="18" spans="2:18" hidden="1" x14ac:dyDescent="0.2">
      <c r="B18" s="52" t="s">
        <v>26</v>
      </c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62"/>
      <c r="Q18" s="62"/>
      <c r="R18" s="62"/>
    </row>
    <row r="19" spans="2:18" x14ac:dyDescent="0.2">
      <c r="B19" s="53" t="s">
        <v>36</v>
      </c>
      <c r="C19" s="16">
        <v>24</v>
      </c>
      <c r="D19" s="14">
        <v>31</v>
      </c>
      <c r="E19" s="14">
        <v>35</v>
      </c>
      <c r="F19" s="14">
        <v>18</v>
      </c>
      <c r="G19" s="14">
        <v>5</v>
      </c>
      <c r="H19" s="14">
        <v>11</v>
      </c>
      <c r="I19" s="14">
        <v>16</v>
      </c>
      <c r="J19" s="14">
        <v>19</v>
      </c>
      <c r="K19" s="14">
        <v>11</v>
      </c>
      <c r="L19" s="14">
        <v>10</v>
      </c>
      <c r="M19" s="14">
        <v>17</v>
      </c>
      <c r="N19" s="14">
        <v>18</v>
      </c>
      <c r="O19" s="14">
        <v>17</v>
      </c>
      <c r="P19" s="62"/>
      <c r="Q19" s="62"/>
      <c r="R19" s="62"/>
    </row>
    <row r="20" spans="2:18" x14ac:dyDescent="0.2">
      <c r="B20" s="51"/>
      <c r="C20" s="1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P20" s="62"/>
      <c r="Q20" s="62"/>
      <c r="R20" s="62"/>
    </row>
    <row r="21" spans="2:18" hidden="1" x14ac:dyDescent="0.2">
      <c r="B21" s="52" t="s">
        <v>25</v>
      </c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P21" s="62"/>
      <c r="Q21" s="62"/>
      <c r="R21" s="62"/>
    </row>
    <row r="22" spans="2:18" hidden="1" x14ac:dyDescent="0.2">
      <c r="B22" s="52" t="s">
        <v>26</v>
      </c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62"/>
      <c r="Q22" s="62"/>
      <c r="R22" s="62"/>
    </row>
    <row r="23" spans="2:18" ht="14.25" x14ac:dyDescent="0.2">
      <c r="B23" s="53" t="s">
        <v>43</v>
      </c>
      <c r="C23" s="16">
        <v>36</v>
      </c>
      <c r="D23" s="14">
        <v>37</v>
      </c>
      <c r="E23" s="14">
        <v>33</v>
      </c>
      <c r="F23" s="14">
        <v>24</v>
      </c>
      <c r="G23" s="67" t="s">
        <v>109</v>
      </c>
      <c r="H23" s="14">
        <v>18</v>
      </c>
      <c r="I23" s="14">
        <v>18</v>
      </c>
      <c r="J23" s="14">
        <v>19</v>
      </c>
      <c r="K23" s="14">
        <v>18</v>
      </c>
      <c r="L23" s="14">
        <v>24</v>
      </c>
      <c r="M23" s="14">
        <v>25</v>
      </c>
      <c r="N23" s="14">
        <v>32</v>
      </c>
      <c r="O23" s="14">
        <v>36</v>
      </c>
      <c r="P23" s="62"/>
      <c r="Q23" s="62"/>
      <c r="R23" s="62"/>
    </row>
    <row r="24" spans="2:18" hidden="1" x14ac:dyDescent="0.2">
      <c r="B24" s="6" t="s">
        <v>25</v>
      </c>
      <c r="C24" s="16"/>
      <c r="D24" s="16"/>
      <c r="E24" s="32"/>
      <c r="F24" s="16"/>
      <c r="G24" s="16"/>
      <c r="H24" s="16"/>
      <c r="I24" s="16"/>
      <c r="J24" s="16"/>
      <c r="K24" s="16"/>
      <c r="L24" s="16"/>
      <c r="P24" s="62"/>
      <c r="Q24" s="62"/>
      <c r="R24" s="62"/>
    </row>
    <row r="25" spans="2:18" hidden="1" x14ac:dyDescent="0.2">
      <c r="B25" s="6" t="s">
        <v>26</v>
      </c>
      <c r="C25" s="16"/>
      <c r="D25" s="16"/>
      <c r="E25" s="32"/>
      <c r="F25" s="16"/>
      <c r="G25" s="16"/>
      <c r="H25" s="16"/>
      <c r="I25" s="16"/>
      <c r="J25" s="16"/>
      <c r="K25" s="16"/>
      <c r="L25" s="16"/>
      <c r="P25" s="62"/>
      <c r="Q25" s="62"/>
      <c r="R25" s="62"/>
    </row>
    <row r="26" spans="2:18" x14ac:dyDescent="0.2">
      <c r="B26" s="6"/>
      <c r="C26" s="16"/>
      <c r="D26" s="16"/>
      <c r="E26" s="32"/>
      <c r="F26" s="16"/>
      <c r="G26" s="16"/>
      <c r="H26" s="16"/>
      <c r="I26" s="16"/>
      <c r="J26" s="16"/>
      <c r="K26" s="16"/>
      <c r="L26" s="16"/>
      <c r="P26" s="62"/>
      <c r="Q26" s="62"/>
      <c r="R26" s="62"/>
    </row>
    <row r="27" spans="2:18" x14ac:dyDescent="0.2">
      <c r="B27" s="18"/>
      <c r="C27" s="16"/>
      <c r="D27" s="16"/>
      <c r="E27" s="32"/>
      <c r="F27" s="16"/>
      <c r="G27" s="16"/>
      <c r="H27" s="16"/>
      <c r="I27" s="16"/>
      <c r="J27" s="16"/>
      <c r="K27" s="16"/>
      <c r="L27" s="16"/>
      <c r="P27" s="62"/>
      <c r="Q27" s="62"/>
      <c r="R27" s="62"/>
    </row>
    <row r="28" spans="2:18" x14ac:dyDescent="0.2">
      <c r="B28" s="36" t="s">
        <v>44</v>
      </c>
      <c r="C28" s="16"/>
      <c r="D28" s="16"/>
      <c r="E28" s="32"/>
      <c r="F28" s="16"/>
      <c r="G28" s="16"/>
      <c r="H28" s="16"/>
      <c r="I28" s="16"/>
      <c r="J28" s="16"/>
      <c r="K28" s="16"/>
      <c r="L28" s="16"/>
      <c r="P28" s="62"/>
      <c r="Q28" s="62"/>
      <c r="R28" s="62"/>
    </row>
    <row r="29" spans="2:18" x14ac:dyDescent="0.2">
      <c r="B29" s="18"/>
      <c r="C29" s="16"/>
      <c r="D29" s="16"/>
      <c r="E29" s="32"/>
      <c r="F29" s="16"/>
      <c r="G29" s="16"/>
      <c r="H29" s="16"/>
      <c r="I29" s="16"/>
      <c r="J29" s="16"/>
      <c r="K29" s="16"/>
      <c r="L29" s="16"/>
      <c r="P29" s="62"/>
      <c r="Q29" s="62"/>
      <c r="R29" s="62"/>
    </row>
    <row r="30" spans="2:18" ht="14.25" x14ac:dyDescent="0.2">
      <c r="B30" s="74" t="s">
        <v>45</v>
      </c>
      <c r="C30" s="66" t="s">
        <v>109</v>
      </c>
      <c r="D30" s="66" t="s">
        <v>109</v>
      </c>
      <c r="E30" s="33">
        <f>SUM(E31:E32)</f>
        <v>0</v>
      </c>
      <c r="F30" s="28">
        <f>SUM(F31:F32)</f>
        <v>45</v>
      </c>
      <c r="G30" s="28">
        <f>SUM(G31:G32)</f>
        <v>33</v>
      </c>
      <c r="H30" s="28">
        <f>SUM(H31:H32)</f>
        <v>5</v>
      </c>
      <c r="I30" s="28">
        <f>SUM(I31:I32)</f>
        <v>6</v>
      </c>
      <c r="J30" s="67" t="s">
        <v>109</v>
      </c>
      <c r="K30" s="67" t="s">
        <v>109</v>
      </c>
      <c r="L30" s="67" t="s">
        <v>109</v>
      </c>
      <c r="M30" s="67" t="s">
        <v>109</v>
      </c>
      <c r="N30" s="67" t="s">
        <v>109</v>
      </c>
      <c r="O30" s="67" t="s">
        <v>109</v>
      </c>
      <c r="P30" s="62"/>
      <c r="Q30" s="62"/>
      <c r="R30" s="62"/>
    </row>
    <row r="31" spans="2:18" ht="14.25" x14ac:dyDescent="0.2">
      <c r="B31" s="48" t="s">
        <v>46</v>
      </c>
      <c r="C31" s="66" t="s">
        <v>109</v>
      </c>
      <c r="D31" s="66" t="s">
        <v>109</v>
      </c>
      <c r="E31" s="32">
        <v>0</v>
      </c>
      <c r="F31" s="16">
        <v>43</v>
      </c>
      <c r="G31" s="16">
        <v>31</v>
      </c>
      <c r="H31" s="16">
        <v>3</v>
      </c>
      <c r="I31" s="16">
        <v>3</v>
      </c>
      <c r="J31" s="65" t="s">
        <v>108</v>
      </c>
      <c r="K31" s="65" t="s">
        <v>108</v>
      </c>
      <c r="L31" s="65" t="s">
        <v>108</v>
      </c>
      <c r="M31" s="65" t="s">
        <v>108</v>
      </c>
      <c r="N31" s="65" t="s">
        <v>108</v>
      </c>
      <c r="O31" s="65" t="s">
        <v>108</v>
      </c>
      <c r="P31" s="62"/>
      <c r="Q31" s="62"/>
      <c r="R31" s="62"/>
    </row>
    <row r="32" spans="2:18" ht="14.25" x14ac:dyDescent="0.2">
      <c r="B32" s="48" t="s">
        <v>47</v>
      </c>
      <c r="C32" s="66" t="s">
        <v>109</v>
      </c>
      <c r="D32" s="66" t="s">
        <v>109</v>
      </c>
      <c r="E32" s="32">
        <v>0</v>
      </c>
      <c r="F32" s="16">
        <v>2</v>
      </c>
      <c r="G32" s="16">
        <v>2</v>
      </c>
      <c r="H32" s="16">
        <v>2</v>
      </c>
      <c r="I32" s="16">
        <v>3</v>
      </c>
      <c r="J32" s="65" t="s">
        <v>108</v>
      </c>
      <c r="K32" s="65" t="s">
        <v>108</v>
      </c>
      <c r="L32" s="65" t="s">
        <v>108</v>
      </c>
      <c r="M32" s="65" t="s">
        <v>108</v>
      </c>
      <c r="N32" s="65" t="s">
        <v>108</v>
      </c>
      <c r="O32" s="65" t="s">
        <v>108</v>
      </c>
      <c r="P32" s="62"/>
      <c r="Q32" s="62"/>
      <c r="R32" s="62"/>
    </row>
    <row r="33" spans="2:20" ht="14.25" x14ac:dyDescent="0.2">
      <c r="B33" s="74" t="s">
        <v>34</v>
      </c>
      <c r="C33" s="75" t="s">
        <v>109</v>
      </c>
      <c r="D33" s="75" t="s">
        <v>109</v>
      </c>
      <c r="E33" s="33">
        <f t="shared" ref="E33:O33" si="0">SUM(E34:E35)</f>
        <v>0</v>
      </c>
      <c r="F33" s="67" t="s">
        <v>109</v>
      </c>
      <c r="G33" s="67" t="s">
        <v>109</v>
      </c>
      <c r="H33" s="28">
        <f t="shared" si="0"/>
        <v>92</v>
      </c>
      <c r="I33" s="28">
        <f t="shared" si="0"/>
        <v>154</v>
      </c>
      <c r="J33" s="28">
        <f t="shared" si="0"/>
        <v>157</v>
      </c>
      <c r="K33" s="28">
        <f t="shared" si="0"/>
        <v>224</v>
      </c>
      <c r="L33" s="28">
        <f t="shared" si="0"/>
        <v>318</v>
      </c>
      <c r="M33" s="28">
        <f t="shared" si="0"/>
        <v>391</v>
      </c>
      <c r="N33" s="28">
        <f t="shared" si="0"/>
        <v>391</v>
      </c>
      <c r="O33" s="28">
        <f t="shared" si="0"/>
        <v>426</v>
      </c>
      <c r="P33" s="62"/>
      <c r="Q33" s="62"/>
      <c r="R33" s="62"/>
    </row>
    <row r="34" spans="2:20" x14ac:dyDescent="0.2">
      <c r="B34" s="48" t="s">
        <v>46</v>
      </c>
      <c r="C34" s="16"/>
      <c r="D34" s="16"/>
      <c r="E34" s="32"/>
      <c r="F34" s="16"/>
      <c r="G34" s="16"/>
      <c r="H34" s="16">
        <v>44</v>
      </c>
      <c r="I34" s="16">
        <v>60</v>
      </c>
      <c r="J34" s="16">
        <v>69</v>
      </c>
      <c r="K34" s="16">
        <v>88</v>
      </c>
      <c r="L34" s="16">
        <v>152</v>
      </c>
      <c r="M34" s="16">
        <v>242</v>
      </c>
      <c r="N34" s="16">
        <v>215</v>
      </c>
      <c r="O34" s="16">
        <v>243</v>
      </c>
      <c r="P34" s="62"/>
      <c r="Q34" s="62"/>
      <c r="R34" s="62"/>
    </row>
    <row r="35" spans="2:20" x14ac:dyDescent="0.2">
      <c r="B35" s="48" t="s">
        <v>47</v>
      </c>
      <c r="C35" s="16"/>
      <c r="D35" s="16"/>
      <c r="E35" s="32"/>
      <c r="F35" s="16"/>
      <c r="G35" s="16"/>
      <c r="H35" s="16">
        <v>48</v>
      </c>
      <c r="I35" s="16">
        <v>94</v>
      </c>
      <c r="J35" s="16">
        <v>88</v>
      </c>
      <c r="K35" s="16">
        <v>136</v>
      </c>
      <c r="L35" s="16">
        <v>166</v>
      </c>
      <c r="M35" s="16">
        <v>149</v>
      </c>
      <c r="N35" s="16">
        <v>176</v>
      </c>
      <c r="O35" s="16">
        <v>183</v>
      </c>
      <c r="P35" s="62"/>
      <c r="Q35" s="62"/>
      <c r="R35" s="62"/>
    </row>
    <row r="36" spans="2:20" x14ac:dyDescent="0.2">
      <c r="B36" s="18"/>
      <c r="C36" s="16"/>
      <c r="D36" s="16"/>
      <c r="E36" s="32"/>
      <c r="F36" s="16"/>
      <c r="G36" s="16"/>
      <c r="H36" s="16"/>
      <c r="I36" s="16"/>
      <c r="J36" s="16"/>
      <c r="K36" s="16"/>
      <c r="L36" s="16"/>
      <c r="P36" s="62"/>
      <c r="Q36" s="62"/>
      <c r="R36" s="62"/>
    </row>
    <row r="37" spans="2:20" x14ac:dyDescent="0.2">
      <c r="B37" s="18"/>
      <c r="C37" s="16"/>
      <c r="D37" s="16"/>
      <c r="E37" s="32"/>
      <c r="F37" s="16"/>
      <c r="G37" s="16"/>
      <c r="H37" s="16"/>
      <c r="I37" s="16"/>
      <c r="J37" s="16"/>
      <c r="K37" s="16"/>
      <c r="L37" s="16"/>
      <c r="P37" s="62"/>
      <c r="Q37" s="62"/>
      <c r="R37" s="62"/>
    </row>
    <row r="38" spans="2:20" x14ac:dyDescent="0.2">
      <c r="B38" s="36" t="s">
        <v>48</v>
      </c>
      <c r="C38" s="28">
        <f t="shared" ref="C38:N38" si="1">SUM(C40:C50)</f>
        <v>98</v>
      </c>
      <c r="D38" s="28">
        <f t="shared" si="1"/>
        <v>93</v>
      </c>
      <c r="E38" s="28">
        <f t="shared" si="1"/>
        <v>84</v>
      </c>
      <c r="F38" s="28">
        <f t="shared" si="1"/>
        <v>81</v>
      </c>
      <c r="G38" s="28">
        <f t="shared" si="1"/>
        <v>111</v>
      </c>
      <c r="H38" s="28">
        <f t="shared" si="1"/>
        <v>35</v>
      </c>
      <c r="I38" s="28">
        <f t="shared" si="1"/>
        <v>29</v>
      </c>
      <c r="J38" s="28">
        <f t="shared" si="1"/>
        <v>68</v>
      </c>
      <c r="K38" s="28">
        <f t="shared" si="1"/>
        <v>61</v>
      </c>
      <c r="L38" s="28">
        <f t="shared" si="1"/>
        <v>157</v>
      </c>
      <c r="M38" s="28">
        <f t="shared" si="1"/>
        <v>111</v>
      </c>
      <c r="N38" s="28">
        <f t="shared" si="1"/>
        <v>89</v>
      </c>
      <c r="O38" s="28">
        <f>SUM(O40:O50)</f>
        <v>118</v>
      </c>
      <c r="P38" s="62"/>
      <c r="Q38" s="62"/>
      <c r="R38" s="62"/>
    </row>
    <row r="39" spans="2:20" x14ac:dyDescent="0.2">
      <c r="B39" s="18"/>
      <c r="C39" s="16"/>
      <c r="D39" s="16"/>
      <c r="E39" s="32"/>
      <c r="F39" s="16"/>
      <c r="G39" s="16"/>
      <c r="H39" s="16"/>
      <c r="I39" s="16"/>
      <c r="J39" s="16"/>
      <c r="K39" s="16"/>
      <c r="L39" s="16"/>
      <c r="P39" s="62"/>
      <c r="Q39" s="62"/>
      <c r="R39" s="62"/>
    </row>
    <row r="40" spans="2:20" ht="14.25" x14ac:dyDescent="0.2">
      <c r="B40" s="52" t="s">
        <v>49</v>
      </c>
      <c r="C40" s="16">
        <v>50</v>
      </c>
      <c r="D40" s="16">
        <v>39</v>
      </c>
      <c r="E40" s="32">
        <v>27</v>
      </c>
      <c r="F40" s="16">
        <v>26</v>
      </c>
      <c r="G40" s="16">
        <v>38</v>
      </c>
      <c r="H40" s="65" t="s">
        <v>108</v>
      </c>
      <c r="I40" s="16">
        <v>14</v>
      </c>
      <c r="J40" s="16">
        <v>6</v>
      </c>
      <c r="K40" s="65" t="s">
        <v>108</v>
      </c>
      <c r="L40" s="65" t="s">
        <v>108</v>
      </c>
      <c r="M40" s="65" t="s">
        <v>108</v>
      </c>
      <c r="N40" s="65" t="s">
        <v>108</v>
      </c>
      <c r="O40" s="65" t="s">
        <v>108</v>
      </c>
      <c r="P40" s="62"/>
      <c r="Q40" s="62"/>
      <c r="R40" s="62"/>
    </row>
    <row r="41" spans="2:20" x14ac:dyDescent="0.2">
      <c r="B41" s="52" t="s">
        <v>50</v>
      </c>
      <c r="C41" s="16">
        <v>48</v>
      </c>
      <c r="D41" s="16">
        <v>54</v>
      </c>
      <c r="E41" s="32">
        <v>50</v>
      </c>
      <c r="F41" s="16">
        <v>43</v>
      </c>
      <c r="G41" s="16">
        <v>54</v>
      </c>
      <c r="H41" s="16">
        <v>30</v>
      </c>
      <c r="I41" s="16">
        <v>15</v>
      </c>
      <c r="J41" s="16">
        <v>33</v>
      </c>
      <c r="K41" s="16">
        <v>37</v>
      </c>
      <c r="L41" s="16">
        <v>61</v>
      </c>
      <c r="M41" s="16">
        <v>60</v>
      </c>
      <c r="N41" s="16">
        <v>58</v>
      </c>
      <c r="O41" s="16">
        <v>48</v>
      </c>
      <c r="P41" s="62"/>
      <c r="Q41" s="62"/>
      <c r="R41" s="62"/>
    </row>
    <row r="42" spans="2:20" ht="14.25" x14ac:dyDescent="0.2">
      <c r="B42" s="52" t="s">
        <v>51</v>
      </c>
      <c r="C42" s="65" t="s">
        <v>108</v>
      </c>
      <c r="D42" s="65" t="s">
        <v>108</v>
      </c>
      <c r="E42" s="32">
        <v>7</v>
      </c>
      <c r="F42" s="16">
        <v>12</v>
      </c>
      <c r="G42" s="16">
        <v>5</v>
      </c>
      <c r="H42" s="16">
        <v>5</v>
      </c>
      <c r="I42" s="67" t="s">
        <v>109</v>
      </c>
      <c r="J42" s="67" t="s">
        <v>109</v>
      </c>
      <c r="K42" s="67" t="s">
        <v>109</v>
      </c>
      <c r="L42" s="67" t="s">
        <v>109</v>
      </c>
      <c r="M42" s="67" t="s">
        <v>109</v>
      </c>
      <c r="N42" s="67" t="s">
        <v>109</v>
      </c>
      <c r="O42" s="67" t="s">
        <v>109</v>
      </c>
      <c r="P42" s="67"/>
      <c r="Q42" s="67"/>
      <c r="R42" s="67"/>
      <c r="S42" s="67"/>
      <c r="T42" s="67"/>
    </row>
    <row r="43" spans="2:20" ht="14.25" x14ac:dyDescent="0.2">
      <c r="B43" s="52" t="s">
        <v>52</v>
      </c>
      <c r="C43" s="65" t="s">
        <v>108</v>
      </c>
      <c r="D43" s="65" t="s">
        <v>108</v>
      </c>
      <c r="E43" s="32"/>
      <c r="F43" s="16"/>
      <c r="G43" s="16">
        <v>14</v>
      </c>
      <c r="H43" s="66" t="s">
        <v>109</v>
      </c>
      <c r="I43" s="66" t="s">
        <v>109</v>
      </c>
      <c r="J43" s="16">
        <v>17</v>
      </c>
      <c r="K43" s="16">
        <v>24</v>
      </c>
      <c r="L43" s="16">
        <v>39</v>
      </c>
      <c r="M43" s="16">
        <v>24</v>
      </c>
      <c r="N43" s="16">
        <v>31</v>
      </c>
      <c r="O43" s="16">
        <v>17</v>
      </c>
      <c r="P43" s="62"/>
      <c r="Q43" s="62"/>
      <c r="R43" s="62"/>
    </row>
    <row r="44" spans="2:20" ht="14.25" x14ac:dyDescent="0.2">
      <c r="B44" s="52" t="s">
        <v>96</v>
      </c>
      <c r="C44" s="65" t="s">
        <v>108</v>
      </c>
      <c r="D44" s="65" t="s">
        <v>108</v>
      </c>
      <c r="E44" s="32"/>
      <c r="F44" s="16"/>
      <c r="G44" s="16"/>
      <c r="H44" s="65" t="s">
        <v>108</v>
      </c>
      <c r="I44" s="65" t="s">
        <v>108</v>
      </c>
      <c r="J44" s="65" t="s">
        <v>108</v>
      </c>
      <c r="K44" s="65" t="s">
        <v>108</v>
      </c>
      <c r="L44" s="16">
        <v>24</v>
      </c>
      <c r="M44" s="16">
        <v>12</v>
      </c>
      <c r="N44" s="65" t="s">
        <v>108</v>
      </c>
      <c r="O44" s="65" t="s">
        <v>108</v>
      </c>
      <c r="P44" s="62"/>
      <c r="Q44" s="62"/>
      <c r="R44" s="62"/>
    </row>
    <row r="45" spans="2:20" ht="14.25" x14ac:dyDescent="0.2">
      <c r="B45" s="52" t="s">
        <v>97</v>
      </c>
      <c r="C45" s="65" t="s">
        <v>108</v>
      </c>
      <c r="D45" s="65" t="s">
        <v>108</v>
      </c>
      <c r="E45" s="32"/>
      <c r="F45" s="16"/>
      <c r="G45" s="16"/>
      <c r="H45" s="65" t="s">
        <v>108</v>
      </c>
      <c r="I45" s="65" t="s">
        <v>108</v>
      </c>
      <c r="J45" s="65" t="s">
        <v>108</v>
      </c>
      <c r="K45" s="65" t="s">
        <v>108</v>
      </c>
      <c r="L45" s="16">
        <v>15</v>
      </c>
      <c r="M45" s="16">
        <v>8</v>
      </c>
      <c r="N45" s="65" t="s">
        <v>108</v>
      </c>
      <c r="O45" s="65" t="s">
        <v>108</v>
      </c>
      <c r="P45" s="62"/>
      <c r="Q45" s="62"/>
      <c r="R45" s="62"/>
    </row>
    <row r="46" spans="2:20" ht="14.25" x14ac:dyDescent="0.2">
      <c r="B46" s="52" t="s">
        <v>115</v>
      </c>
      <c r="C46" s="65" t="s">
        <v>108</v>
      </c>
      <c r="D46" s="65" t="s">
        <v>108</v>
      </c>
      <c r="E46" s="32"/>
      <c r="F46" s="16"/>
      <c r="G46" s="16"/>
      <c r="H46" s="65" t="s">
        <v>108</v>
      </c>
      <c r="I46" s="65" t="s">
        <v>108</v>
      </c>
      <c r="J46" s="65" t="s">
        <v>108</v>
      </c>
      <c r="K46" s="65" t="s">
        <v>108</v>
      </c>
      <c r="L46" s="16">
        <v>18</v>
      </c>
      <c r="M46" s="16">
        <v>7</v>
      </c>
      <c r="N46" s="65" t="s">
        <v>108</v>
      </c>
      <c r="O46" s="16">
        <v>19</v>
      </c>
      <c r="P46" s="62"/>
      <c r="Q46" s="62"/>
      <c r="R46" s="62"/>
    </row>
    <row r="47" spans="2:20" ht="14.25" x14ac:dyDescent="0.2">
      <c r="B47" s="52" t="s">
        <v>116</v>
      </c>
      <c r="C47" s="65" t="s">
        <v>108</v>
      </c>
      <c r="D47" s="65" t="s">
        <v>108</v>
      </c>
      <c r="E47" s="32"/>
      <c r="F47" s="16"/>
      <c r="G47" s="16"/>
      <c r="H47" s="65" t="s">
        <v>108</v>
      </c>
      <c r="I47" s="65" t="s">
        <v>108</v>
      </c>
      <c r="J47" s="16">
        <v>12</v>
      </c>
      <c r="K47" s="67" t="s">
        <v>109</v>
      </c>
      <c r="L47" s="67" t="s">
        <v>109</v>
      </c>
      <c r="M47" s="67" t="s">
        <v>109</v>
      </c>
      <c r="N47" s="67" t="s">
        <v>109</v>
      </c>
      <c r="O47" s="67" t="s">
        <v>109</v>
      </c>
      <c r="P47" s="67"/>
      <c r="Q47" s="62"/>
      <c r="R47" s="62"/>
    </row>
    <row r="48" spans="2:20" ht="14.25" x14ac:dyDescent="0.2">
      <c r="B48" s="52" t="s">
        <v>102</v>
      </c>
      <c r="C48" s="65" t="s">
        <v>108</v>
      </c>
      <c r="D48" s="65" t="s">
        <v>108</v>
      </c>
      <c r="E48" s="32"/>
      <c r="F48" s="16"/>
      <c r="G48" s="16"/>
      <c r="H48" s="65" t="s">
        <v>108</v>
      </c>
      <c r="I48" s="65" t="s">
        <v>108</v>
      </c>
      <c r="J48" s="65" t="s">
        <v>108</v>
      </c>
      <c r="K48" s="65" t="s">
        <v>108</v>
      </c>
      <c r="L48" s="65" t="s">
        <v>108</v>
      </c>
      <c r="M48" s="65" t="s">
        <v>108</v>
      </c>
      <c r="N48" s="65" t="s">
        <v>108</v>
      </c>
      <c r="O48" s="16">
        <v>12</v>
      </c>
      <c r="P48" s="62"/>
      <c r="Q48" s="62"/>
      <c r="R48" s="62"/>
    </row>
    <row r="49" spans="1:18" ht="14.25" x14ac:dyDescent="0.2">
      <c r="B49" s="52" t="s">
        <v>104</v>
      </c>
      <c r="C49" s="65" t="s">
        <v>108</v>
      </c>
      <c r="D49" s="65" t="s">
        <v>108</v>
      </c>
      <c r="E49" s="32"/>
      <c r="F49" s="16"/>
      <c r="G49" s="16"/>
      <c r="H49" s="65" t="s">
        <v>108</v>
      </c>
      <c r="I49" s="65" t="s">
        <v>108</v>
      </c>
      <c r="J49" s="65" t="s">
        <v>108</v>
      </c>
      <c r="K49" s="65" t="s">
        <v>108</v>
      </c>
      <c r="L49" s="65" t="s">
        <v>108</v>
      </c>
      <c r="M49" s="65" t="s">
        <v>108</v>
      </c>
      <c r="N49" s="65" t="s">
        <v>108</v>
      </c>
      <c r="O49" s="16">
        <v>15</v>
      </c>
      <c r="P49" s="62"/>
      <c r="Q49" s="62"/>
      <c r="R49" s="62"/>
    </row>
    <row r="50" spans="1:18" ht="14.25" x14ac:dyDescent="0.2">
      <c r="B50" s="52" t="s">
        <v>105</v>
      </c>
      <c r="C50" s="65" t="s">
        <v>108</v>
      </c>
      <c r="D50" s="65" t="s">
        <v>108</v>
      </c>
      <c r="E50" s="32"/>
      <c r="F50" s="16"/>
      <c r="G50" s="16"/>
      <c r="H50" s="65" t="s">
        <v>108</v>
      </c>
      <c r="I50" s="65" t="s">
        <v>108</v>
      </c>
      <c r="J50" s="65" t="s">
        <v>108</v>
      </c>
      <c r="K50" s="65" t="s">
        <v>108</v>
      </c>
      <c r="L50" s="65" t="s">
        <v>108</v>
      </c>
      <c r="M50" s="65" t="s">
        <v>108</v>
      </c>
      <c r="N50" s="65" t="s">
        <v>108</v>
      </c>
      <c r="O50" s="16">
        <v>7</v>
      </c>
      <c r="P50" s="62"/>
      <c r="Q50" s="62"/>
      <c r="R50" s="62"/>
    </row>
    <row r="51" spans="1:18" x14ac:dyDescent="0.2">
      <c r="B51" s="18"/>
      <c r="C51" s="16"/>
      <c r="D51" s="16"/>
      <c r="E51" s="32"/>
      <c r="F51" s="16"/>
      <c r="G51" s="16"/>
      <c r="H51" s="16"/>
      <c r="I51" s="16"/>
      <c r="J51" s="16"/>
      <c r="K51" s="16"/>
      <c r="L51" s="16"/>
      <c r="P51" s="62"/>
      <c r="Q51" s="62"/>
      <c r="R51" s="62"/>
    </row>
    <row r="52" spans="1:18" x14ac:dyDescent="0.2">
      <c r="B52" s="36" t="s">
        <v>98</v>
      </c>
      <c r="C52" s="16"/>
      <c r="D52" s="16"/>
      <c r="E52" s="32"/>
      <c r="F52" s="16"/>
      <c r="G52" s="16"/>
      <c r="H52" s="16"/>
      <c r="I52" s="16"/>
      <c r="J52" s="16"/>
      <c r="K52" s="16"/>
      <c r="L52" s="16"/>
      <c r="P52" s="62"/>
      <c r="Q52" s="62"/>
      <c r="R52" s="62"/>
    </row>
    <row r="53" spans="1:18" ht="14.25" x14ac:dyDescent="0.2">
      <c r="B53" s="52" t="s">
        <v>53</v>
      </c>
      <c r="C53" s="16">
        <v>889</v>
      </c>
      <c r="D53" s="16">
        <v>1033</v>
      </c>
      <c r="E53" s="32">
        <v>756</v>
      </c>
      <c r="F53" s="16">
        <v>862</v>
      </c>
      <c r="G53" s="16">
        <v>757</v>
      </c>
      <c r="H53" s="16">
        <v>1183</v>
      </c>
      <c r="I53" s="16">
        <v>1437</v>
      </c>
      <c r="J53" s="16">
        <v>1827</v>
      </c>
      <c r="K53" s="16">
        <v>1591</v>
      </c>
      <c r="L53" s="16">
        <v>1537</v>
      </c>
      <c r="M53" s="16">
        <v>1532</v>
      </c>
      <c r="N53" s="16">
        <v>1181</v>
      </c>
      <c r="O53" s="67" t="s">
        <v>109</v>
      </c>
      <c r="P53" s="62"/>
      <c r="Q53" s="62"/>
      <c r="R53" s="62"/>
    </row>
    <row r="54" spans="1:18" x14ac:dyDescent="0.2">
      <c r="A54" s="19"/>
      <c r="B54" s="2"/>
      <c r="C54" s="2"/>
      <c r="D54" s="2"/>
      <c r="E54" s="47"/>
      <c r="F54" s="47"/>
      <c r="G54" s="47"/>
      <c r="H54" s="47"/>
      <c r="I54" s="2"/>
      <c r="J54" s="2"/>
      <c r="K54" s="2"/>
      <c r="L54" s="2"/>
      <c r="M54" s="2"/>
      <c r="N54" s="2"/>
      <c r="O54" s="2"/>
      <c r="P54" s="49"/>
      <c r="Q54" s="49"/>
      <c r="R54" s="49"/>
    </row>
    <row r="55" spans="1:18" hidden="1" x14ac:dyDescent="0.2">
      <c r="B55" s="18" t="s">
        <v>54</v>
      </c>
      <c r="E55" s="6">
        <v>17</v>
      </c>
      <c r="F55" s="6" t="s">
        <v>55</v>
      </c>
      <c r="G55" s="6" t="s">
        <v>55</v>
      </c>
      <c r="H55" s="6" t="s">
        <v>55</v>
      </c>
      <c r="I55" s="6" t="s">
        <v>55</v>
      </c>
      <c r="J55" s="6" t="s">
        <v>55</v>
      </c>
      <c r="K55" s="6" t="s">
        <v>55</v>
      </c>
      <c r="P55" s="49"/>
      <c r="Q55" s="49"/>
      <c r="R55" s="49"/>
    </row>
    <row r="56" spans="1:18" x14ac:dyDescent="0.2">
      <c r="E56" s="18"/>
      <c r="F56" s="18"/>
      <c r="G56" s="18"/>
      <c r="H56" s="18"/>
      <c r="P56" s="49"/>
      <c r="Q56" s="49"/>
      <c r="R56" s="49"/>
    </row>
    <row r="57" spans="1:18" x14ac:dyDescent="0.2">
      <c r="B57" s="4" t="s">
        <v>119</v>
      </c>
      <c r="E57" s="18"/>
      <c r="F57" s="18"/>
      <c r="G57" s="18"/>
      <c r="H57" s="18"/>
      <c r="P57" s="49"/>
      <c r="Q57" s="49"/>
      <c r="R57" s="49"/>
    </row>
    <row r="58" spans="1:18" ht="14.25" x14ac:dyDescent="0.2">
      <c r="A58" s="24">
        <v>1</v>
      </c>
      <c r="B58" t="s">
        <v>106</v>
      </c>
      <c r="C58" s="11"/>
      <c r="D58" s="11"/>
      <c r="E58" s="17"/>
      <c r="F58" s="17"/>
      <c r="G58" s="17"/>
      <c r="H58" s="17"/>
      <c r="I58" s="11"/>
      <c r="J58" s="11"/>
      <c r="K58" s="11"/>
      <c r="L58" s="11"/>
      <c r="M58" s="11"/>
      <c r="N58" s="11"/>
      <c r="P58" s="49"/>
      <c r="Q58" s="49"/>
      <c r="R58" s="49"/>
    </row>
    <row r="59" spans="1:18" ht="14.25" x14ac:dyDescent="0.2">
      <c r="A59" s="57">
        <v>2</v>
      </c>
      <c r="B59" s="37" t="s">
        <v>107</v>
      </c>
      <c r="E59" s="16"/>
      <c r="F59" s="16"/>
      <c r="G59" s="16"/>
      <c r="H59" s="16"/>
      <c r="P59" s="49"/>
      <c r="Q59" s="49"/>
      <c r="R59" s="49"/>
    </row>
    <row r="60" spans="1:18" outlineLevel="1" x14ac:dyDescent="0.2">
      <c r="E60" s="16"/>
      <c r="F60" s="16"/>
      <c r="G60" s="16"/>
      <c r="H60" s="16"/>
      <c r="P60" s="49"/>
      <c r="Q60" s="49"/>
      <c r="R60" s="49"/>
    </row>
    <row r="61" spans="1:18" outlineLevel="1" x14ac:dyDescent="0.2">
      <c r="B61" s="59" t="s">
        <v>99</v>
      </c>
      <c r="E61" s="16"/>
      <c r="F61" s="16"/>
      <c r="G61" s="16"/>
      <c r="H61" s="16"/>
      <c r="P61" s="49"/>
      <c r="Q61" s="49"/>
      <c r="R61" s="49"/>
    </row>
    <row r="62" spans="1:18" outlineLevel="1" x14ac:dyDescent="0.2">
      <c r="E62" s="16"/>
      <c r="F62" s="16"/>
      <c r="G62" s="16"/>
      <c r="H62" s="16"/>
      <c r="P62" s="49"/>
      <c r="Q62" s="18" t="s">
        <v>56</v>
      </c>
    </row>
    <row r="63" spans="1:18" outlineLevel="1" x14ac:dyDescent="0.2">
      <c r="E63" s="16"/>
      <c r="F63" s="16"/>
      <c r="G63" s="16"/>
      <c r="H63" s="16"/>
      <c r="P63" s="49"/>
      <c r="Q63" s="6" t="s">
        <v>25</v>
      </c>
    </row>
    <row r="64" spans="1:18" outlineLevel="1" x14ac:dyDescent="0.2">
      <c r="E64" s="16"/>
      <c r="F64" s="16"/>
      <c r="G64" s="16"/>
      <c r="H64" s="16"/>
      <c r="P64" s="49"/>
      <c r="Q64" s="6" t="s">
        <v>26</v>
      </c>
    </row>
    <row r="65" spans="1:18" outlineLevel="1" x14ac:dyDescent="0.2">
      <c r="E65" s="16"/>
      <c r="F65" s="16"/>
      <c r="G65" s="16"/>
      <c r="H65" s="16"/>
      <c r="P65" s="49"/>
      <c r="Q65" s="18" t="s">
        <v>57</v>
      </c>
    </row>
    <row r="66" spans="1:18" outlineLevel="1" x14ac:dyDescent="0.2">
      <c r="E66" s="16"/>
      <c r="F66" s="16"/>
      <c r="G66" s="16"/>
      <c r="H66" s="16"/>
      <c r="P66" s="49"/>
      <c r="Q66" s="6" t="s">
        <v>25</v>
      </c>
    </row>
    <row r="67" spans="1:18" outlineLevel="1" x14ac:dyDescent="0.2">
      <c r="B67" s="6"/>
      <c r="E67" s="16"/>
      <c r="F67" s="16"/>
      <c r="G67" s="16"/>
      <c r="H67" s="16"/>
      <c r="P67" s="49"/>
      <c r="Q67" s="6" t="s">
        <v>26</v>
      </c>
    </row>
    <row r="68" spans="1:18" outlineLevel="1" x14ac:dyDescent="0.2">
      <c r="B68" s="6"/>
      <c r="E68" s="16"/>
      <c r="F68" s="16"/>
      <c r="G68" s="16"/>
      <c r="H68" s="16"/>
      <c r="P68" s="49"/>
      <c r="Q68" s="49"/>
      <c r="R68" s="49"/>
    </row>
    <row r="69" spans="1:18" outlineLevel="1" x14ac:dyDescent="0.2">
      <c r="B69" s="6"/>
      <c r="E69" s="16"/>
      <c r="F69" s="16"/>
      <c r="G69" s="16"/>
      <c r="H69" s="16"/>
      <c r="P69" s="49"/>
      <c r="Q69" s="49"/>
      <c r="R69" s="49"/>
    </row>
    <row r="70" spans="1:18" x14ac:dyDescent="0.2">
      <c r="P70" s="49"/>
      <c r="Q70" s="49"/>
      <c r="R70" s="49"/>
    </row>
    <row r="71" spans="1:18" x14ac:dyDescent="0.2">
      <c r="P71" s="49"/>
      <c r="Q71" s="49"/>
      <c r="R71" s="49"/>
    </row>
    <row r="72" spans="1:18" x14ac:dyDescent="0.2">
      <c r="P72" s="49"/>
      <c r="Q72" s="49"/>
      <c r="R72" s="49"/>
    </row>
    <row r="73" spans="1:18" x14ac:dyDescent="0.2">
      <c r="P73" s="49"/>
      <c r="Q73" s="49"/>
      <c r="R73" s="49"/>
    </row>
    <row r="74" spans="1:18" x14ac:dyDescent="0.2">
      <c r="P74" s="49"/>
      <c r="Q74" s="49"/>
      <c r="R74" s="49"/>
    </row>
    <row r="75" spans="1:18" x14ac:dyDescent="0.2">
      <c r="P75" s="49"/>
      <c r="Q75" s="49"/>
      <c r="R75" s="49"/>
    </row>
    <row r="76" spans="1:18" x14ac:dyDescent="0.2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37"/>
      <c r="O76" s="37"/>
      <c r="P76" s="49"/>
      <c r="Q76" s="49"/>
      <c r="R76" s="49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37"/>
      <c r="O77" s="37"/>
      <c r="P77" s="63"/>
      <c r="Q77" s="63"/>
      <c r="R77" s="63"/>
    </row>
    <row r="78" spans="1:18" s="58" customFormat="1" ht="9" customHeight="1" x14ac:dyDescent="0.2"/>
    <row r="79" spans="1:18" x14ac:dyDescent="0.2">
      <c r="A79" s="609"/>
      <c r="B79" s="609"/>
      <c r="C79" s="609"/>
      <c r="D79" s="609"/>
      <c r="E79" s="609"/>
      <c r="F79" s="609"/>
      <c r="G79" s="609"/>
      <c r="H79" s="609"/>
      <c r="I79" s="609"/>
      <c r="J79" s="609"/>
      <c r="K79" s="609"/>
      <c r="L79" s="609"/>
      <c r="M79" s="609"/>
      <c r="N79" s="609"/>
      <c r="O79" s="609"/>
      <c r="P79" s="60"/>
      <c r="Q79" s="60"/>
    </row>
  </sheetData>
  <mergeCells count="2">
    <mergeCell ref="B8:O8"/>
    <mergeCell ref="A79:O79"/>
  </mergeCells>
  <phoneticPr fontId="0" type="noConversion"/>
  <pageMargins left="0.9" right="0.9" top="1" bottom="1" header="0.52" footer="0.5"/>
  <pageSetup scale="70" orientation="portrait" r:id="rId1"/>
  <headerFooter alignWithMargins="0"/>
  <colBreaks count="1" manualBreakCount="1">
    <brk id="15" min="1" max="78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628650</xdr:colOff>
                <xdr:row>2</xdr:row>
                <xdr:rowOff>133350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/>
  <dimension ref="A4:Y64"/>
  <sheetViews>
    <sheetView view="pageBreakPreview" zoomScaleNormal="100" zoomScaleSheetLayoutView="100" workbookViewId="0">
      <pane xSplit="3" topLeftCell="D1" activePane="topRight" state="frozen"/>
      <selection activeCell="P12" sqref="P12"/>
      <selection pane="topRight" activeCell="A4" sqref="A4:W6"/>
    </sheetView>
  </sheetViews>
  <sheetFormatPr defaultRowHeight="12.75" outlineLevelRow="1" x14ac:dyDescent="0.2"/>
  <cols>
    <col min="1" max="1" width="6.42578125" customWidth="1"/>
    <col min="2" max="2" width="32.7109375" customWidth="1"/>
    <col min="3" max="3" width="9.7109375" hidden="1" customWidth="1"/>
    <col min="4" max="6" width="9" hidden="1" customWidth="1"/>
    <col min="7" max="10" width="8.85546875" hidden="1" customWidth="1"/>
    <col min="11" max="11" width="8.42578125" hidden="1" customWidth="1"/>
    <col min="12" max="13" width="8" hidden="1" customWidth="1"/>
    <col min="14" max="14" width="7.85546875" hidden="1" customWidth="1"/>
    <col min="15" max="15" width="7.7109375" hidden="1" customWidth="1"/>
    <col min="16" max="16" width="7.85546875" hidden="1" customWidth="1"/>
    <col min="17" max="18" width="12.7109375" hidden="1" customWidth="1"/>
    <col min="19" max="23" width="12.7109375" customWidth="1"/>
  </cols>
  <sheetData>
    <row r="4" spans="1:25" ht="15" x14ac:dyDescent="0.25">
      <c r="M4" s="607" t="s">
        <v>207</v>
      </c>
      <c r="N4" s="607"/>
      <c r="O4" s="607"/>
      <c r="P4" s="607"/>
      <c r="Q4" s="607"/>
      <c r="R4" s="607"/>
      <c r="S4" s="607"/>
      <c r="T4" s="607"/>
      <c r="U4" s="607"/>
      <c r="V4" s="607"/>
      <c r="W4" s="607"/>
    </row>
    <row r="5" spans="1:25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8" spans="1:25" ht="15.75" x14ac:dyDescent="0.25">
      <c r="A8" s="44" t="s">
        <v>210</v>
      </c>
      <c r="B8" s="605" t="s">
        <v>211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</row>
    <row r="10" spans="1:25" x14ac:dyDescent="0.2">
      <c r="U10" s="2"/>
      <c r="V10" s="2"/>
      <c r="W10" s="2"/>
    </row>
    <row r="11" spans="1:25" x14ac:dyDescent="0.2">
      <c r="B11" s="35"/>
      <c r="C11" s="35">
        <v>1991</v>
      </c>
      <c r="D11" s="35">
        <f>C11+1</f>
        <v>1992</v>
      </c>
      <c r="E11" s="35">
        <f t="shared" ref="E11:K11" si="0">D11+1</f>
        <v>1993</v>
      </c>
      <c r="F11" s="35">
        <f t="shared" si="0"/>
        <v>1994</v>
      </c>
      <c r="G11" s="35">
        <f t="shared" si="0"/>
        <v>1995</v>
      </c>
      <c r="H11" s="35">
        <f t="shared" si="0"/>
        <v>1996</v>
      </c>
      <c r="I11" s="35">
        <f t="shared" si="0"/>
        <v>1997</v>
      </c>
      <c r="J11" s="35">
        <f t="shared" si="0"/>
        <v>1998</v>
      </c>
      <c r="K11" s="35">
        <f t="shared" si="0"/>
        <v>1999</v>
      </c>
      <c r="L11" s="43">
        <v>2000</v>
      </c>
      <c r="M11" s="56">
        <v>2001</v>
      </c>
      <c r="N11" s="43">
        <v>2002</v>
      </c>
      <c r="O11" s="43">
        <v>2003</v>
      </c>
      <c r="P11" s="43">
        <v>2004</v>
      </c>
      <c r="Q11" s="50">
        <v>2005</v>
      </c>
      <c r="R11" s="50">
        <v>2006</v>
      </c>
      <c r="S11" s="9"/>
      <c r="T11" s="50">
        <v>2007</v>
      </c>
      <c r="U11" s="55">
        <v>2008</v>
      </c>
      <c r="V11" s="113">
        <v>2009</v>
      </c>
      <c r="W11" s="113">
        <v>2010</v>
      </c>
      <c r="X11" s="45">
        <v>2011</v>
      </c>
      <c r="Y11" s="45">
        <v>2012</v>
      </c>
    </row>
    <row r="13" spans="1:25" x14ac:dyDescent="0.2">
      <c r="B13" s="36" t="s">
        <v>101</v>
      </c>
      <c r="C13" s="28" t="e">
        <f>SUM(C16,#REF!,#REF!,C18,C19)</f>
        <v>#REF!</v>
      </c>
      <c r="D13" s="28" t="e">
        <f>SUM(D16,#REF!,#REF!,D18,D19)</f>
        <v>#REF!</v>
      </c>
      <c r="E13" s="28" t="e">
        <f>SUM(E16,#REF!,#REF!,E18,E19)</f>
        <v>#REF!</v>
      </c>
      <c r="F13" s="28" t="e">
        <f>SUM(F16,#REF!,#REF!,F18,F19)</f>
        <v>#REF!</v>
      </c>
      <c r="G13" s="28" t="e">
        <f>SUM(G16,#REF!,#REF!,G18,G19)</f>
        <v>#REF!</v>
      </c>
      <c r="H13" s="28" t="e">
        <f>SUM(H16,#REF!,#REF!,H18,H19)</f>
        <v>#REF!</v>
      </c>
      <c r="I13" s="28">
        <v>69</v>
      </c>
      <c r="J13" s="76">
        <f>SUM(J16:J19)</f>
        <v>75</v>
      </c>
      <c r="K13" s="90">
        <f t="shared" ref="K13:R13" si="1">SUM(K16:K19)</f>
        <v>73</v>
      </c>
      <c r="L13" s="76">
        <f t="shared" si="1"/>
        <v>103</v>
      </c>
      <c r="M13" s="76">
        <f t="shared" si="1"/>
        <v>108</v>
      </c>
      <c r="N13" s="90">
        <f t="shared" si="1"/>
        <v>101</v>
      </c>
      <c r="O13" s="76">
        <f t="shared" si="1"/>
        <v>127</v>
      </c>
      <c r="P13" s="76">
        <f t="shared" si="1"/>
        <v>116</v>
      </c>
      <c r="Q13" s="76">
        <f t="shared" si="1"/>
        <v>106</v>
      </c>
      <c r="R13" s="76">
        <f t="shared" si="1"/>
        <v>122</v>
      </c>
      <c r="T13" s="76">
        <f>SUM(T16:T19)</f>
        <v>126</v>
      </c>
      <c r="U13" s="76">
        <f>SUM(U16:U19)</f>
        <v>129</v>
      </c>
      <c r="V13" s="76">
        <f>SUM(V16:V19)</f>
        <v>130</v>
      </c>
      <c r="W13" s="76">
        <f>SUM(W16:W19)</f>
        <v>121</v>
      </c>
      <c r="X13" s="76"/>
      <c r="Y13" s="76"/>
    </row>
    <row r="14" spans="1:25" x14ac:dyDescent="0.2">
      <c r="B14" s="36"/>
      <c r="C14" s="28"/>
      <c r="D14" s="28"/>
      <c r="E14" s="28"/>
      <c r="F14" s="28"/>
      <c r="G14" s="28"/>
      <c r="H14" s="28"/>
      <c r="I14" s="28"/>
      <c r="J14" s="77"/>
      <c r="K14" s="91"/>
      <c r="L14" s="78"/>
      <c r="M14" s="78"/>
      <c r="N14" s="87"/>
      <c r="O14" s="78"/>
      <c r="P14" s="78"/>
      <c r="Q14" s="78"/>
      <c r="R14" s="87"/>
      <c r="T14" s="78"/>
    </row>
    <row r="15" spans="1:25" x14ac:dyDescent="0.2">
      <c r="B15" s="36" t="s">
        <v>167</v>
      </c>
      <c r="C15" s="28"/>
      <c r="D15" s="28"/>
      <c r="E15" s="28"/>
      <c r="F15" s="28"/>
      <c r="G15" s="28"/>
      <c r="H15" s="28"/>
      <c r="I15" s="28"/>
      <c r="J15" s="76"/>
      <c r="K15" s="76"/>
      <c r="L15" s="79"/>
      <c r="M15" s="79"/>
      <c r="N15" s="80"/>
      <c r="O15" s="80"/>
      <c r="P15" s="80"/>
      <c r="Q15" s="80"/>
      <c r="R15" s="80"/>
      <c r="T15" s="80"/>
    </row>
    <row r="16" spans="1:25" x14ac:dyDescent="0.2">
      <c r="B16" s="54" t="s">
        <v>59</v>
      </c>
      <c r="C16" s="16">
        <v>0</v>
      </c>
      <c r="D16" s="16">
        <v>13</v>
      </c>
      <c r="E16" s="16">
        <v>22</v>
      </c>
      <c r="F16" s="16">
        <v>26</v>
      </c>
      <c r="G16" s="16">
        <v>25</v>
      </c>
      <c r="H16" s="16">
        <v>27</v>
      </c>
      <c r="I16" s="16">
        <v>50</v>
      </c>
      <c r="J16" s="81">
        <v>62</v>
      </c>
      <c r="K16" s="81">
        <v>61</v>
      </c>
      <c r="L16" s="80">
        <v>89</v>
      </c>
      <c r="M16" s="80">
        <v>92</v>
      </c>
      <c r="N16" s="81">
        <v>79</v>
      </c>
      <c r="O16" s="81">
        <v>115</v>
      </c>
      <c r="P16" s="81">
        <v>87</v>
      </c>
      <c r="Q16" s="81">
        <v>87</v>
      </c>
      <c r="R16" s="81">
        <v>106</v>
      </c>
      <c r="T16" s="81">
        <v>109</v>
      </c>
      <c r="U16" s="81">
        <v>99</v>
      </c>
      <c r="V16" s="81">
        <v>97</v>
      </c>
      <c r="W16" s="81">
        <v>102</v>
      </c>
      <c r="X16" s="81"/>
      <c r="Y16" s="81"/>
    </row>
    <row r="17" spans="2:25" ht="14.25" x14ac:dyDescent="0.2">
      <c r="B17" s="54" t="s">
        <v>147</v>
      </c>
      <c r="C17" s="16"/>
      <c r="D17" s="16"/>
      <c r="E17" s="16"/>
      <c r="F17" s="16"/>
      <c r="G17" s="16"/>
      <c r="H17" s="16"/>
      <c r="I17" s="16"/>
      <c r="J17" s="81"/>
      <c r="K17" s="81"/>
      <c r="L17" s="80"/>
      <c r="M17" s="80"/>
      <c r="N17" s="81"/>
      <c r="O17" s="81"/>
      <c r="P17" s="81"/>
      <c r="Q17" s="81"/>
      <c r="R17" s="82"/>
      <c r="T17" s="82"/>
      <c r="U17" s="114">
        <v>13</v>
      </c>
      <c r="V17" s="81">
        <v>12</v>
      </c>
      <c r="W17" s="81">
        <v>9</v>
      </c>
      <c r="X17" s="81"/>
      <c r="Y17" s="81"/>
    </row>
    <row r="18" spans="2:25" ht="14.25" x14ac:dyDescent="0.2">
      <c r="B18" s="54" t="s">
        <v>100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66" t="s">
        <v>109</v>
      </c>
      <c r="I18" s="16">
        <v>3</v>
      </c>
      <c r="J18" s="81">
        <v>10</v>
      </c>
      <c r="K18" s="81">
        <v>9</v>
      </c>
      <c r="L18" s="80">
        <v>4</v>
      </c>
      <c r="M18" s="80">
        <v>5</v>
      </c>
      <c r="N18" s="81">
        <v>7</v>
      </c>
      <c r="O18" s="82" t="s">
        <v>108</v>
      </c>
      <c r="P18" s="81">
        <v>14</v>
      </c>
      <c r="Q18" s="81">
        <v>12</v>
      </c>
      <c r="R18" s="81">
        <v>2</v>
      </c>
      <c r="T18" s="81">
        <v>3</v>
      </c>
      <c r="U18" s="81">
        <v>1</v>
      </c>
      <c r="V18" s="81">
        <v>1</v>
      </c>
      <c r="W18" s="144" t="s">
        <v>109</v>
      </c>
      <c r="X18" s="144"/>
      <c r="Y18" s="144"/>
    </row>
    <row r="19" spans="2:25" ht="14.25" x14ac:dyDescent="0.2">
      <c r="B19" s="54" t="s">
        <v>61</v>
      </c>
      <c r="C19" s="16">
        <v>0</v>
      </c>
      <c r="D19" s="16">
        <v>0</v>
      </c>
      <c r="E19" s="16">
        <v>0</v>
      </c>
      <c r="F19" s="16">
        <v>8</v>
      </c>
      <c r="G19" s="16">
        <v>7</v>
      </c>
      <c r="H19" s="66" t="s">
        <v>109</v>
      </c>
      <c r="I19" s="66" t="s">
        <v>109</v>
      </c>
      <c r="J19" s="81">
        <v>3</v>
      </c>
      <c r="K19" s="81">
        <v>3</v>
      </c>
      <c r="L19" s="80">
        <v>10</v>
      </c>
      <c r="M19" s="80">
        <v>11</v>
      </c>
      <c r="N19" s="81">
        <v>15</v>
      </c>
      <c r="O19" s="81">
        <v>12</v>
      </c>
      <c r="P19" s="81">
        <v>15</v>
      </c>
      <c r="Q19" s="81">
        <v>7</v>
      </c>
      <c r="R19" s="81">
        <v>14</v>
      </c>
      <c r="T19" s="81">
        <v>14</v>
      </c>
      <c r="U19" s="81">
        <v>16</v>
      </c>
      <c r="V19" s="81">
        <v>20</v>
      </c>
      <c r="W19" s="81">
        <v>10</v>
      </c>
      <c r="X19" s="81"/>
      <c r="Y19" s="81"/>
    </row>
    <row r="20" spans="2:25" x14ac:dyDescent="0.2">
      <c r="B20" s="36"/>
      <c r="C20" s="28"/>
      <c r="D20" s="28"/>
      <c r="E20" s="28"/>
      <c r="F20" s="28"/>
      <c r="G20" s="28"/>
      <c r="H20" s="28"/>
      <c r="I20" s="28"/>
      <c r="J20" s="76"/>
      <c r="K20" s="76"/>
      <c r="L20" s="79"/>
      <c r="M20" s="79"/>
      <c r="N20" s="80"/>
      <c r="O20" s="80"/>
      <c r="P20" s="80"/>
      <c r="Q20" s="80"/>
      <c r="R20" s="80"/>
      <c r="T20" s="80"/>
    </row>
    <row r="21" spans="2:25" x14ac:dyDescent="0.2">
      <c r="B21" s="151" t="s">
        <v>168</v>
      </c>
      <c r="C21" s="16"/>
      <c r="D21" s="16"/>
      <c r="E21" s="16"/>
      <c r="F21" s="16"/>
      <c r="G21" s="16"/>
      <c r="H21" s="16"/>
      <c r="I21" s="16"/>
      <c r="J21" s="76"/>
      <c r="K21" s="76"/>
      <c r="L21" s="76"/>
      <c r="M21" s="76"/>
      <c r="N21" s="76"/>
      <c r="O21" s="76"/>
      <c r="P21" s="76"/>
      <c r="Q21" s="76"/>
      <c r="R21" s="76"/>
      <c r="T21" s="76"/>
    </row>
    <row r="22" spans="2:25" x14ac:dyDescent="0.2">
      <c r="B22" s="38" t="s">
        <v>56</v>
      </c>
      <c r="C22" s="16">
        <v>29</v>
      </c>
      <c r="D22" s="16">
        <v>30</v>
      </c>
      <c r="E22" s="16">
        <v>31</v>
      </c>
      <c r="F22" s="16">
        <v>39</v>
      </c>
      <c r="G22" s="16">
        <v>33</v>
      </c>
      <c r="H22" s="16">
        <v>22</v>
      </c>
      <c r="I22" s="16">
        <v>28</v>
      </c>
      <c r="J22" s="81">
        <v>28</v>
      </c>
      <c r="K22" s="81">
        <v>35</v>
      </c>
      <c r="L22" s="80">
        <v>51</v>
      </c>
      <c r="M22" s="80">
        <v>54</v>
      </c>
      <c r="N22" s="81">
        <v>85</v>
      </c>
      <c r="O22" s="89">
        <v>87</v>
      </c>
      <c r="P22" s="81">
        <v>100</v>
      </c>
      <c r="Q22" s="89">
        <v>73</v>
      </c>
      <c r="R22" s="81">
        <v>89</v>
      </c>
      <c r="T22" s="81">
        <v>88</v>
      </c>
      <c r="U22" s="81">
        <v>86</v>
      </c>
      <c r="V22" s="81">
        <v>94</v>
      </c>
      <c r="W22" s="81">
        <v>80</v>
      </c>
      <c r="X22" s="81"/>
      <c r="Y22" s="81"/>
    </row>
    <row r="23" spans="2:25" x14ac:dyDescent="0.2">
      <c r="B23" s="38" t="s">
        <v>57</v>
      </c>
      <c r="C23" s="16">
        <v>3</v>
      </c>
      <c r="D23" s="16">
        <v>10</v>
      </c>
      <c r="E23" s="16">
        <v>12</v>
      </c>
      <c r="F23" s="16">
        <v>11</v>
      </c>
      <c r="G23" s="16">
        <v>10</v>
      </c>
      <c r="H23" s="16">
        <v>20</v>
      </c>
      <c r="I23" s="16">
        <v>41</v>
      </c>
      <c r="J23" s="81">
        <v>67</v>
      </c>
      <c r="K23" s="81">
        <v>52</v>
      </c>
      <c r="L23" s="80">
        <v>59</v>
      </c>
      <c r="M23" s="80">
        <v>63</v>
      </c>
      <c r="N23" s="81">
        <v>27</v>
      </c>
      <c r="O23" s="89">
        <v>47</v>
      </c>
      <c r="P23" s="81">
        <v>23</v>
      </c>
      <c r="Q23" s="89">
        <v>38</v>
      </c>
      <c r="R23" s="81">
        <v>33</v>
      </c>
      <c r="T23" s="81">
        <v>38</v>
      </c>
      <c r="U23" s="81">
        <v>43</v>
      </c>
      <c r="V23" s="81">
        <v>36</v>
      </c>
      <c r="W23" s="81">
        <v>41</v>
      </c>
      <c r="X23" s="81"/>
      <c r="Y23" s="81"/>
    </row>
    <row r="24" spans="2:25" x14ac:dyDescent="0.2">
      <c r="B24" s="38"/>
      <c r="C24" s="16"/>
      <c r="D24" s="16"/>
      <c r="E24" s="16"/>
      <c r="F24" s="16"/>
      <c r="G24" s="16"/>
      <c r="H24" s="16"/>
      <c r="I24" s="16"/>
      <c r="J24" s="81"/>
      <c r="K24" s="81"/>
      <c r="L24" s="80"/>
      <c r="M24" s="80"/>
      <c r="N24" s="81"/>
      <c r="O24" s="89"/>
      <c r="P24" s="81"/>
      <c r="Q24" s="89"/>
      <c r="R24" s="81"/>
      <c r="T24" s="81"/>
      <c r="U24" s="81"/>
    </row>
    <row r="25" spans="2:25" x14ac:dyDescent="0.2">
      <c r="B25" s="151" t="s">
        <v>169</v>
      </c>
      <c r="C25" s="28"/>
      <c r="D25" s="28"/>
      <c r="E25" s="28"/>
      <c r="F25" s="28"/>
      <c r="G25" s="28"/>
      <c r="H25" s="28"/>
      <c r="I25" s="28"/>
      <c r="J25" s="76"/>
      <c r="K25" s="76"/>
      <c r="L25" s="76"/>
      <c r="M25" s="76"/>
      <c r="N25" s="76"/>
      <c r="O25" s="76"/>
      <c r="P25" s="76"/>
      <c r="Q25" s="76"/>
      <c r="R25" s="76"/>
      <c r="T25" s="76"/>
    </row>
    <row r="26" spans="2:25" x14ac:dyDescent="0.2">
      <c r="B26" s="37" t="s">
        <v>26</v>
      </c>
      <c r="C26" s="16">
        <v>19</v>
      </c>
      <c r="D26" s="16">
        <v>27</v>
      </c>
      <c r="E26" s="16">
        <v>29</v>
      </c>
      <c r="F26" s="16">
        <v>34</v>
      </c>
      <c r="G26" s="16">
        <v>24</v>
      </c>
      <c r="H26" s="16">
        <v>25</v>
      </c>
      <c r="I26" s="16">
        <v>43</v>
      </c>
      <c r="J26" s="81">
        <v>59</v>
      </c>
      <c r="K26" s="81">
        <v>56</v>
      </c>
      <c r="L26" s="80">
        <v>59</v>
      </c>
      <c r="M26" s="80">
        <v>53</v>
      </c>
      <c r="N26" s="81">
        <v>63</v>
      </c>
      <c r="O26" s="89">
        <v>80</v>
      </c>
      <c r="P26" s="81">
        <v>83</v>
      </c>
      <c r="Q26" s="88">
        <v>61</v>
      </c>
      <c r="R26" s="81">
        <v>74</v>
      </c>
      <c r="T26" s="81">
        <v>72</v>
      </c>
      <c r="U26" s="81">
        <v>74</v>
      </c>
      <c r="V26" s="81">
        <v>61</v>
      </c>
      <c r="W26" s="81">
        <v>49</v>
      </c>
      <c r="X26" s="81"/>
      <c r="Y26" s="81"/>
    </row>
    <row r="27" spans="2:25" x14ac:dyDescent="0.2">
      <c r="B27" s="37" t="s">
        <v>25</v>
      </c>
      <c r="C27" s="16">
        <v>13</v>
      </c>
      <c r="D27" s="16">
        <v>13</v>
      </c>
      <c r="E27" s="16">
        <v>14</v>
      </c>
      <c r="F27" s="16">
        <v>16</v>
      </c>
      <c r="G27" s="16">
        <v>19</v>
      </c>
      <c r="H27" s="16">
        <v>17</v>
      </c>
      <c r="I27" s="16">
        <v>26</v>
      </c>
      <c r="J27" s="81">
        <v>36</v>
      </c>
      <c r="K27" s="81">
        <v>31</v>
      </c>
      <c r="L27" s="80">
        <v>51</v>
      </c>
      <c r="M27" s="80">
        <v>64</v>
      </c>
      <c r="N27" s="81">
        <v>49</v>
      </c>
      <c r="O27" s="89">
        <v>54</v>
      </c>
      <c r="P27" s="81">
        <v>40</v>
      </c>
      <c r="Q27" s="88">
        <v>50</v>
      </c>
      <c r="R27" s="81">
        <v>48</v>
      </c>
      <c r="T27" s="81">
        <v>54</v>
      </c>
      <c r="U27" s="81">
        <v>55</v>
      </c>
      <c r="V27" s="81">
        <v>69</v>
      </c>
      <c r="W27" s="81">
        <v>72</v>
      </c>
      <c r="X27" s="81"/>
      <c r="Y27" s="81"/>
    </row>
    <row r="29" spans="2:25" x14ac:dyDescent="0.2">
      <c r="B29" s="38"/>
      <c r="C29" s="16"/>
      <c r="D29" s="16"/>
      <c r="E29" s="16"/>
      <c r="F29" s="16"/>
      <c r="G29" s="16"/>
      <c r="H29" s="16"/>
      <c r="I29" s="16"/>
      <c r="J29" s="81"/>
      <c r="K29" s="81"/>
      <c r="L29" s="80"/>
      <c r="M29" s="80"/>
      <c r="N29" s="81"/>
      <c r="O29" s="89"/>
      <c r="P29" s="81"/>
      <c r="Q29" s="89"/>
      <c r="R29" s="81"/>
      <c r="T29" s="81"/>
      <c r="U29" s="81"/>
    </row>
    <row r="30" spans="2:25" s="4" customFormat="1" ht="14.25" x14ac:dyDescent="0.2">
      <c r="B30" s="70" t="s">
        <v>58</v>
      </c>
      <c r="C30" s="42" t="e">
        <f>SUM(C31,C32,#REF!,#REF!,C34)</f>
        <v>#REF!</v>
      </c>
      <c r="D30" s="42" t="e">
        <f>SUM(D31,D32,#REF!,#REF!,D34)</f>
        <v>#REF!</v>
      </c>
      <c r="E30" s="42" t="e">
        <f>SUM(E31,E32,#REF!,#REF!,E34)</f>
        <v>#REF!</v>
      </c>
      <c r="F30" s="42" t="e">
        <f>SUM(F31,F32,#REF!,#REF!,F34)</f>
        <v>#REF!</v>
      </c>
      <c r="G30" s="42" t="e">
        <f>SUM(G31,G32,#REF!,#REF!,G34)</f>
        <v>#REF!</v>
      </c>
      <c r="H30" s="42" t="e">
        <f>SUM(H31,H32,#REF!,#REF!,H34)</f>
        <v>#REF!</v>
      </c>
      <c r="I30" s="42">
        <v>12</v>
      </c>
      <c r="J30" s="83">
        <v>11</v>
      </c>
      <c r="K30" s="83">
        <v>22</v>
      </c>
      <c r="L30" s="79">
        <f>SUM(L31:L34)</f>
        <v>19</v>
      </c>
      <c r="M30" s="79">
        <f t="shared" ref="M30:R30" si="2">SUM(M31:M34)</f>
        <v>19</v>
      </c>
      <c r="N30" s="79">
        <f t="shared" si="2"/>
        <v>17</v>
      </c>
      <c r="O30" s="79">
        <f t="shared" si="2"/>
        <v>33</v>
      </c>
      <c r="P30" s="79">
        <f t="shared" si="2"/>
        <v>22</v>
      </c>
      <c r="Q30" s="84" t="s">
        <v>109</v>
      </c>
      <c r="R30" s="85">
        <f t="shared" si="2"/>
        <v>29</v>
      </c>
      <c r="T30" s="85">
        <f>SUM(T31:T34)</f>
        <v>34</v>
      </c>
      <c r="U30" s="85">
        <f>SUM(U31:U34)</f>
        <v>36</v>
      </c>
      <c r="V30" s="85">
        <f>SUM(V31:V34)</f>
        <v>23</v>
      </c>
      <c r="W30" s="146" t="s">
        <v>108</v>
      </c>
      <c r="X30" s="146"/>
      <c r="Y30" s="146"/>
    </row>
    <row r="31" spans="2:25" ht="14.25" x14ac:dyDescent="0.2">
      <c r="B31" s="54" t="s">
        <v>150</v>
      </c>
      <c r="C31" s="16">
        <v>0</v>
      </c>
      <c r="D31" s="16">
        <v>0</v>
      </c>
      <c r="E31" s="16">
        <v>0</v>
      </c>
      <c r="F31" s="16">
        <v>11</v>
      </c>
      <c r="G31" s="16">
        <v>10</v>
      </c>
      <c r="H31" s="16">
        <v>6</v>
      </c>
      <c r="I31" s="16">
        <v>10</v>
      </c>
      <c r="J31" s="81">
        <v>9</v>
      </c>
      <c r="K31" s="81">
        <v>19</v>
      </c>
      <c r="L31" s="80">
        <v>18</v>
      </c>
      <c r="M31" s="80">
        <v>15</v>
      </c>
      <c r="N31" s="81">
        <v>15</v>
      </c>
      <c r="O31" s="81">
        <v>23</v>
      </c>
      <c r="P31" s="81">
        <v>11</v>
      </c>
      <c r="Q31" s="82" t="s">
        <v>109</v>
      </c>
      <c r="R31" s="86">
        <v>22</v>
      </c>
      <c r="T31" s="86">
        <v>24</v>
      </c>
      <c r="U31" s="81">
        <v>24</v>
      </c>
      <c r="V31" s="114">
        <v>15</v>
      </c>
      <c r="W31" s="146" t="s">
        <v>108</v>
      </c>
      <c r="X31" s="146"/>
      <c r="Y31" s="146"/>
    </row>
    <row r="32" spans="2:25" ht="14.25" x14ac:dyDescent="0.2">
      <c r="B32" s="3" t="s">
        <v>60</v>
      </c>
      <c r="C32" s="16">
        <v>0</v>
      </c>
      <c r="D32" s="16">
        <v>1</v>
      </c>
      <c r="E32" s="16">
        <v>2</v>
      </c>
      <c r="F32" s="16">
        <v>3</v>
      </c>
      <c r="G32" s="16">
        <v>2</v>
      </c>
      <c r="H32" s="16">
        <v>1</v>
      </c>
      <c r="I32" s="16">
        <v>2</v>
      </c>
      <c r="J32" s="81">
        <v>2</v>
      </c>
      <c r="K32" s="81">
        <v>1</v>
      </c>
      <c r="L32" s="80">
        <v>1</v>
      </c>
      <c r="M32" s="80">
        <v>4</v>
      </c>
      <c r="N32" s="81">
        <v>2</v>
      </c>
      <c r="O32" s="81">
        <v>4</v>
      </c>
      <c r="P32" s="81">
        <v>3</v>
      </c>
      <c r="Q32" s="82" t="s">
        <v>109</v>
      </c>
      <c r="R32" s="82" t="s">
        <v>109</v>
      </c>
      <c r="T32" s="82" t="s">
        <v>109</v>
      </c>
      <c r="U32" s="82" t="s">
        <v>109</v>
      </c>
      <c r="V32" s="82" t="s">
        <v>109</v>
      </c>
      <c r="W32" s="146" t="s">
        <v>108</v>
      </c>
      <c r="X32" s="146"/>
      <c r="Y32" s="146"/>
    </row>
    <row r="33" spans="2:25" ht="14.25" x14ac:dyDescent="0.2">
      <c r="B33" s="3" t="s">
        <v>148</v>
      </c>
      <c r="C33" s="16"/>
      <c r="D33" s="16"/>
      <c r="E33" s="16"/>
      <c r="F33" s="16"/>
      <c r="G33" s="16"/>
      <c r="H33" s="16"/>
      <c r="I33" s="16"/>
      <c r="J33" s="81"/>
      <c r="K33" s="81"/>
      <c r="L33" s="80"/>
      <c r="M33" s="80"/>
      <c r="N33" s="81"/>
      <c r="O33" s="81"/>
      <c r="P33" s="81"/>
      <c r="Q33" s="82"/>
      <c r="R33" s="82"/>
      <c r="T33" s="82"/>
      <c r="U33" s="81">
        <v>2</v>
      </c>
      <c r="V33" s="82" t="s">
        <v>109</v>
      </c>
      <c r="W33" s="146" t="s">
        <v>108</v>
      </c>
      <c r="X33" s="146"/>
      <c r="Y33" s="146"/>
    </row>
    <row r="34" spans="2:25" ht="14.25" x14ac:dyDescent="0.2">
      <c r="B34" s="54" t="s">
        <v>61</v>
      </c>
      <c r="C34" s="16">
        <v>0</v>
      </c>
      <c r="D34" s="16">
        <v>0</v>
      </c>
      <c r="E34" s="16">
        <v>0</v>
      </c>
      <c r="F34" s="16">
        <v>0</v>
      </c>
      <c r="G34" s="16">
        <v>8</v>
      </c>
      <c r="H34" s="16">
        <v>7</v>
      </c>
      <c r="I34" s="66" t="s">
        <v>109</v>
      </c>
      <c r="J34" s="82" t="s">
        <v>109</v>
      </c>
      <c r="K34" s="82" t="s">
        <v>109</v>
      </c>
      <c r="L34" s="82" t="s">
        <v>109</v>
      </c>
      <c r="M34" s="82" t="s">
        <v>109</v>
      </c>
      <c r="N34" s="82" t="s">
        <v>109</v>
      </c>
      <c r="O34" s="81">
        <v>6</v>
      </c>
      <c r="P34" s="81">
        <v>8</v>
      </c>
      <c r="Q34" s="82" t="s">
        <v>109</v>
      </c>
      <c r="R34" s="81">
        <v>7</v>
      </c>
      <c r="T34" s="81">
        <v>10</v>
      </c>
      <c r="U34" s="81">
        <v>10</v>
      </c>
      <c r="V34" s="114">
        <v>8</v>
      </c>
      <c r="W34" s="146" t="s">
        <v>108</v>
      </c>
      <c r="X34" s="146"/>
      <c r="Y34" s="146"/>
    </row>
    <row r="35" spans="2:25" x14ac:dyDescent="0.2">
      <c r="B35" s="38"/>
      <c r="C35" s="16"/>
      <c r="D35" s="16"/>
      <c r="E35" s="16"/>
      <c r="F35" s="16"/>
      <c r="G35" s="16"/>
      <c r="H35" s="16"/>
      <c r="I35" s="16"/>
      <c r="J35" s="81"/>
      <c r="K35" s="81"/>
      <c r="L35" s="80"/>
      <c r="M35" s="80"/>
      <c r="N35" s="81"/>
      <c r="O35" s="89"/>
      <c r="P35" s="81"/>
      <c r="Q35" s="89"/>
      <c r="R35" s="81"/>
      <c r="T35" s="81"/>
      <c r="U35" s="81"/>
      <c r="W35" s="29"/>
      <c r="X35" s="29"/>
      <c r="Y35" s="29"/>
    </row>
    <row r="36" spans="2:25" ht="14.25" x14ac:dyDescent="0.2">
      <c r="B36" s="151" t="s">
        <v>168</v>
      </c>
      <c r="C36" s="16"/>
      <c r="D36" s="16"/>
      <c r="E36" s="16"/>
      <c r="F36" s="16"/>
      <c r="G36" s="16"/>
      <c r="H36" s="16"/>
      <c r="I36" s="16"/>
      <c r="J36" s="81"/>
      <c r="K36" s="81"/>
      <c r="L36" s="80"/>
      <c r="M36" s="80"/>
      <c r="N36" s="81"/>
      <c r="O36" s="89"/>
      <c r="P36" s="81"/>
      <c r="Q36" s="89"/>
      <c r="R36" s="81"/>
      <c r="T36" s="81"/>
      <c r="U36" s="83">
        <f>SUM(U37:U38)</f>
        <v>36</v>
      </c>
      <c r="V36" s="83">
        <f>SUM(V37:V38)</f>
        <v>23</v>
      </c>
      <c r="W36" s="146" t="s">
        <v>108</v>
      </c>
      <c r="X36" s="146"/>
      <c r="Y36" s="146"/>
    </row>
    <row r="37" spans="2:25" ht="14.25" x14ac:dyDescent="0.2">
      <c r="B37" s="38" t="s">
        <v>56</v>
      </c>
      <c r="I37" s="16"/>
      <c r="J37" s="81"/>
      <c r="K37" s="81"/>
      <c r="L37" s="81"/>
      <c r="M37" s="81"/>
      <c r="N37" s="81"/>
      <c r="O37" s="89"/>
      <c r="P37" s="81"/>
      <c r="Q37" s="89"/>
      <c r="R37" s="81"/>
      <c r="T37" s="81"/>
      <c r="U37" s="81">
        <v>26</v>
      </c>
      <c r="V37" s="114">
        <v>17</v>
      </c>
      <c r="W37" s="146" t="s">
        <v>108</v>
      </c>
      <c r="X37" s="146"/>
      <c r="Y37" s="146"/>
    </row>
    <row r="38" spans="2:25" ht="14.25" x14ac:dyDescent="0.2">
      <c r="B38" s="38" t="s">
        <v>57</v>
      </c>
      <c r="I38" s="16"/>
      <c r="J38" s="81"/>
      <c r="K38" s="81"/>
      <c r="L38" s="80"/>
      <c r="M38" s="80"/>
      <c r="N38" s="80"/>
      <c r="O38" s="80"/>
      <c r="P38" s="80"/>
      <c r="Q38" s="80"/>
      <c r="R38" s="80"/>
      <c r="T38" s="80"/>
      <c r="U38" s="81">
        <v>10</v>
      </c>
      <c r="V38" s="114">
        <v>6</v>
      </c>
      <c r="W38" s="146" t="s">
        <v>108</v>
      </c>
      <c r="X38" s="146"/>
      <c r="Y38" s="146"/>
    </row>
    <row r="39" spans="2:25" x14ac:dyDescent="0.2">
      <c r="B39" s="38"/>
      <c r="I39" s="16"/>
      <c r="J39" s="81"/>
      <c r="K39" s="81"/>
      <c r="L39" s="80"/>
      <c r="M39" s="80"/>
      <c r="N39" s="80"/>
      <c r="O39" s="80"/>
      <c r="P39" s="80"/>
      <c r="Q39" s="80"/>
      <c r="R39" s="80"/>
      <c r="T39" s="80"/>
      <c r="U39" s="81"/>
      <c r="W39" s="29"/>
      <c r="X39" s="29"/>
      <c r="Y39" s="29"/>
    </row>
    <row r="40" spans="2:25" ht="14.25" x14ac:dyDescent="0.2">
      <c r="B40" s="151" t="s">
        <v>169</v>
      </c>
      <c r="I40" s="16"/>
      <c r="J40" s="81"/>
      <c r="K40" s="81"/>
      <c r="L40" s="80"/>
      <c r="M40" s="80"/>
      <c r="N40" s="80"/>
      <c r="O40" s="80"/>
      <c r="P40" s="80"/>
      <c r="Q40" s="80"/>
      <c r="R40" s="80"/>
      <c r="T40" s="80"/>
      <c r="U40" s="83">
        <f>SUM(U41:U42)</f>
        <v>36</v>
      </c>
      <c r="V40" s="83">
        <f>SUM(V41:V42)</f>
        <v>23</v>
      </c>
      <c r="W40" s="146" t="s">
        <v>108</v>
      </c>
      <c r="X40" s="146"/>
      <c r="Y40" s="146"/>
    </row>
    <row r="41" spans="2:25" ht="14.25" x14ac:dyDescent="0.2">
      <c r="B41" s="38" t="s">
        <v>26</v>
      </c>
      <c r="I41" s="16"/>
      <c r="J41" s="81"/>
      <c r="K41" s="81"/>
      <c r="L41" s="80"/>
      <c r="M41" s="80"/>
      <c r="N41" s="80"/>
      <c r="O41" s="80"/>
      <c r="P41" s="80"/>
      <c r="Q41" s="80"/>
      <c r="R41" s="80"/>
      <c r="T41" s="80"/>
      <c r="U41" s="81">
        <v>25</v>
      </c>
      <c r="V41" s="114">
        <v>17</v>
      </c>
      <c r="W41" s="146" t="s">
        <v>108</v>
      </c>
      <c r="X41" s="146"/>
      <c r="Y41" s="146"/>
    </row>
    <row r="42" spans="2:25" ht="14.25" x14ac:dyDescent="0.2">
      <c r="B42" s="38" t="s">
        <v>25</v>
      </c>
      <c r="I42" s="16"/>
      <c r="J42" s="81"/>
      <c r="K42" s="81"/>
      <c r="L42" s="80"/>
      <c r="M42" s="80"/>
      <c r="N42" s="80"/>
      <c r="O42" s="80"/>
      <c r="P42" s="80"/>
      <c r="Q42" s="80"/>
      <c r="R42" s="80"/>
      <c r="T42" s="80"/>
      <c r="U42" s="81">
        <v>11</v>
      </c>
      <c r="V42" s="114">
        <v>6</v>
      </c>
      <c r="W42" s="146" t="s">
        <v>108</v>
      </c>
      <c r="X42" s="146"/>
      <c r="Y42" s="146"/>
    </row>
    <row r="43" spans="2:25" x14ac:dyDescent="0.2">
      <c r="B43" s="38"/>
      <c r="I43" s="16"/>
      <c r="J43" s="81"/>
      <c r="K43" s="81"/>
      <c r="L43" s="80"/>
      <c r="M43" s="80"/>
      <c r="N43" s="80"/>
      <c r="O43" s="80"/>
      <c r="P43" s="80"/>
      <c r="Q43" s="80"/>
      <c r="R43" s="80"/>
      <c r="T43" s="80"/>
    </row>
    <row r="44" spans="2:25" ht="12.75" hidden="1" customHeight="1" outlineLevel="1" x14ac:dyDescent="0.2">
      <c r="B44" s="34" t="s">
        <v>56</v>
      </c>
      <c r="C44" s="16">
        <v>0</v>
      </c>
      <c r="D44" s="16"/>
      <c r="E44" s="16"/>
      <c r="F44" s="16"/>
      <c r="G44" s="16">
        <v>8</v>
      </c>
      <c r="H44" s="16">
        <v>7</v>
      </c>
      <c r="I44" s="16"/>
      <c r="J44" s="81"/>
      <c r="K44" s="81"/>
      <c r="L44" s="80"/>
      <c r="M44" s="80"/>
      <c r="N44" s="80"/>
      <c r="O44" s="80"/>
      <c r="P44" s="81"/>
      <c r="Q44" s="82" t="s">
        <v>109</v>
      </c>
      <c r="R44" s="86"/>
      <c r="T44" s="86" t="s">
        <v>113</v>
      </c>
      <c r="V44" s="82" t="s">
        <v>108</v>
      </c>
      <c r="W44" s="82" t="s">
        <v>108</v>
      </c>
      <c r="X44" s="82"/>
      <c r="Y44" s="82"/>
    </row>
    <row r="45" spans="2:25" ht="12.75" hidden="1" customHeight="1" outlineLevel="1" x14ac:dyDescent="0.2">
      <c r="B45" s="34" t="s">
        <v>57</v>
      </c>
      <c r="C45" s="16">
        <v>0</v>
      </c>
      <c r="D45" s="16"/>
      <c r="E45" s="16"/>
      <c r="F45" s="16"/>
      <c r="G45" s="16"/>
      <c r="H45" s="16">
        <v>7</v>
      </c>
      <c r="I45" s="16"/>
      <c r="J45" s="81"/>
      <c r="K45" s="81"/>
      <c r="L45" s="80"/>
      <c r="M45" s="80"/>
      <c r="N45" s="80"/>
      <c r="O45" s="80"/>
      <c r="P45" s="81"/>
      <c r="Q45" s="82" t="s">
        <v>108</v>
      </c>
      <c r="R45" s="86"/>
      <c r="T45" s="86" t="s">
        <v>113</v>
      </c>
      <c r="V45" s="82" t="s">
        <v>108</v>
      </c>
      <c r="W45" s="82" t="s">
        <v>108</v>
      </c>
      <c r="X45" s="82"/>
      <c r="Y45" s="82"/>
    </row>
    <row r="46" spans="2:25" ht="12.75" hidden="1" customHeight="1" outlineLevel="1" x14ac:dyDescent="0.2">
      <c r="B46" s="6" t="s">
        <v>7</v>
      </c>
      <c r="C46" s="16">
        <v>0</v>
      </c>
      <c r="D46" s="16"/>
      <c r="E46" s="16"/>
      <c r="F46" s="16"/>
      <c r="G46" s="16"/>
      <c r="H46" s="16"/>
      <c r="I46" s="16"/>
      <c r="J46" s="81"/>
      <c r="K46" s="81"/>
      <c r="L46" s="80"/>
      <c r="M46" s="80"/>
      <c r="N46" s="80"/>
      <c r="O46" s="80"/>
      <c r="P46" s="81"/>
      <c r="Q46" s="82" t="s">
        <v>108</v>
      </c>
      <c r="R46" s="86"/>
      <c r="T46" s="86" t="s">
        <v>113</v>
      </c>
      <c r="V46" s="82" t="s">
        <v>108</v>
      </c>
      <c r="W46" s="82" t="s">
        <v>108</v>
      </c>
      <c r="X46" s="82"/>
      <c r="Y46" s="82"/>
    </row>
    <row r="47" spans="2:25" ht="12.75" hidden="1" customHeight="1" outlineLevel="1" x14ac:dyDescent="0.2">
      <c r="B47" s="6" t="s">
        <v>8</v>
      </c>
      <c r="C47" s="16">
        <v>0</v>
      </c>
      <c r="D47" s="16"/>
      <c r="E47" s="16"/>
      <c r="F47" s="16"/>
      <c r="G47" s="16"/>
      <c r="H47" s="16"/>
      <c r="I47" s="16"/>
      <c r="J47" s="81"/>
      <c r="K47" s="81"/>
      <c r="L47" s="80"/>
      <c r="M47" s="80"/>
      <c r="N47" s="80"/>
      <c r="O47" s="80"/>
      <c r="P47" s="81"/>
      <c r="Q47" s="82" t="s">
        <v>108</v>
      </c>
      <c r="R47" s="86"/>
      <c r="T47" s="86" t="s">
        <v>113</v>
      </c>
      <c r="V47" s="82" t="s">
        <v>108</v>
      </c>
      <c r="W47" s="82" t="s">
        <v>108</v>
      </c>
      <c r="X47" s="82"/>
      <c r="Y47" s="82"/>
    </row>
    <row r="48" spans="2:25" ht="14.25" hidden="1" x14ac:dyDescent="0.2">
      <c r="C48" s="16"/>
      <c r="D48" s="16"/>
      <c r="E48" s="16"/>
      <c r="F48" s="16"/>
      <c r="G48" s="16"/>
      <c r="H48" s="16"/>
      <c r="I48" s="16"/>
      <c r="J48" s="81"/>
      <c r="K48" s="81"/>
      <c r="L48" s="80"/>
      <c r="M48" s="80"/>
      <c r="N48" s="80"/>
      <c r="O48" s="80"/>
      <c r="P48" s="81"/>
      <c r="Q48" s="82" t="s">
        <v>108</v>
      </c>
      <c r="R48" s="86"/>
      <c r="T48" s="86" t="s">
        <v>113</v>
      </c>
      <c r="V48" s="82" t="s">
        <v>108</v>
      </c>
      <c r="W48" s="82" t="s">
        <v>108</v>
      </c>
      <c r="X48" s="82"/>
      <c r="Y48" s="82"/>
    </row>
    <row r="49" spans="1:25" s="4" customFormat="1" x14ac:dyDescent="0.2">
      <c r="B49" s="70" t="s">
        <v>62</v>
      </c>
      <c r="C49" s="42"/>
      <c r="D49" s="42">
        <v>6</v>
      </c>
      <c r="E49" s="42">
        <v>6</v>
      </c>
      <c r="F49" s="42">
        <v>6</v>
      </c>
      <c r="G49" s="42">
        <v>6</v>
      </c>
      <c r="H49" s="42">
        <v>6</v>
      </c>
      <c r="I49" s="42">
        <v>7</v>
      </c>
      <c r="J49" s="83">
        <f t="shared" ref="J49:P49" si="3">SUM(J51+J50)</f>
        <v>7</v>
      </c>
      <c r="K49" s="83">
        <f t="shared" si="3"/>
        <v>8</v>
      </c>
      <c r="L49" s="83">
        <f t="shared" si="3"/>
        <v>8</v>
      </c>
      <c r="M49" s="83">
        <f t="shared" si="3"/>
        <v>9</v>
      </c>
      <c r="N49" s="83">
        <f t="shared" si="3"/>
        <v>10</v>
      </c>
      <c r="O49" s="83">
        <f t="shared" si="3"/>
        <v>10</v>
      </c>
      <c r="P49" s="83">
        <f t="shared" si="3"/>
        <v>11</v>
      </c>
      <c r="Q49" s="83">
        <f>SUM(Q50:Q51)</f>
        <v>10</v>
      </c>
      <c r="R49" s="83">
        <f>SUM(R50:R51)</f>
        <v>12</v>
      </c>
      <c r="T49" s="83">
        <f>SUM(T50:T51)</f>
        <v>12</v>
      </c>
      <c r="U49" s="83">
        <f>SUM(U50:U51)</f>
        <v>12</v>
      </c>
      <c r="V49" s="83">
        <f>SUM(V50:V51)</f>
        <v>12</v>
      </c>
      <c r="W49" s="83">
        <f>SUM(W50:W51)</f>
        <v>12</v>
      </c>
      <c r="X49" s="83"/>
      <c r="Y49" s="83"/>
    </row>
    <row r="50" spans="1:25" s="4" customFormat="1" x14ac:dyDescent="0.2">
      <c r="B50" s="54" t="s">
        <v>26</v>
      </c>
      <c r="C50" s="16">
        <v>1</v>
      </c>
      <c r="D50" s="16">
        <v>1</v>
      </c>
      <c r="E50" s="16">
        <v>2</v>
      </c>
      <c r="F50" s="16">
        <v>2</v>
      </c>
      <c r="G50" s="16">
        <v>2</v>
      </c>
      <c r="H50" s="16">
        <v>2</v>
      </c>
      <c r="I50" s="16">
        <v>2</v>
      </c>
      <c r="J50" s="81">
        <v>2</v>
      </c>
      <c r="K50" s="81">
        <v>3</v>
      </c>
      <c r="L50" s="80">
        <v>3</v>
      </c>
      <c r="M50" s="80">
        <v>4</v>
      </c>
      <c r="N50" s="81">
        <v>5</v>
      </c>
      <c r="O50" s="81">
        <v>5</v>
      </c>
      <c r="P50" s="81">
        <v>6</v>
      </c>
      <c r="Q50" s="81">
        <v>6</v>
      </c>
      <c r="R50" s="81">
        <v>7</v>
      </c>
      <c r="T50" s="81">
        <v>7</v>
      </c>
      <c r="U50" s="81">
        <v>6</v>
      </c>
      <c r="V50" s="81">
        <v>6</v>
      </c>
      <c r="W50" s="81">
        <v>4</v>
      </c>
      <c r="X50" s="81"/>
      <c r="Y50" s="81"/>
    </row>
    <row r="51" spans="1:25" x14ac:dyDescent="0.2">
      <c r="B51" s="54" t="s">
        <v>25</v>
      </c>
      <c r="C51" s="16">
        <v>5</v>
      </c>
      <c r="D51" s="16">
        <v>5</v>
      </c>
      <c r="E51" s="16">
        <v>4</v>
      </c>
      <c r="F51" s="16">
        <v>4</v>
      </c>
      <c r="G51" s="16">
        <v>4</v>
      </c>
      <c r="H51" s="16">
        <v>4</v>
      </c>
      <c r="I51" s="16">
        <v>5</v>
      </c>
      <c r="J51" s="81">
        <v>5</v>
      </c>
      <c r="K51" s="81">
        <v>5</v>
      </c>
      <c r="L51" s="80">
        <v>5</v>
      </c>
      <c r="M51" s="80">
        <v>5</v>
      </c>
      <c r="N51" s="81">
        <v>5</v>
      </c>
      <c r="O51" s="81">
        <v>5</v>
      </c>
      <c r="P51" s="81">
        <v>5</v>
      </c>
      <c r="Q51" s="81">
        <v>4</v>
      </c>
      <c r="R51" s="81">
        <v>5</v>
      </c>
      <c r="T51" s="81">
        <v>5</v>
      </c>
      <c r="U51" s="81">
        <v>6</v>
      </c>
      <c r="V51" s="81">
        <v>6</v>
      </c>
      <c r="W51" s="81">
        <v>8</v>
      </c>
      <c r="X51" s="81"/>
      <c r="Y51" s="81"/>
    </row>
    <row r="53" spans="1:25" x14ac:dyDescent="0.2">
      <c r="A53" s="1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9"/>
      <c r="B54" s="150" t="s">
        <v>175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6" spans="1:25" x14ac:dyDescent="0.2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S56" s="80" t="s">
        <v>0</v>
      </c>
    </row>
    <row r="62" spans="1:2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25" s="58" customFormat="1" ht="9" customHeight="1" x14ac:dyDescent="0.2"/>
    <row r="64" spans="1:25" x14ac:dyDescent="0.2">
      <c r="A64" s="604" t="e">
        <f>'3.06a'!A69:L69+1</f>
        <v>#VALUE!</v>
      </c>
      <c r="B64" s="604"/>
      <c r="C64" s="604"/>
      <c r="D64" s="604"/>
      <c r="E64" s="604"/>
      <c r="F64" s="604"/>
      <c r="G64" s="604"/>
      <c r="H64" s="604"/>
      <c r="I64" s="604"/>
      <c r="J64" s="604"/>
      <c r="K64" s="604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</row>
  </sheetData>
  <mergeCells count="3">
    <mergeCell ref="M4:W4"/>
    <mergeCell ref="B8:W8"/>
    <mergeCell ref="A64:W64"/>
  </mergeCells>
  <phoneticPr fontId="0" type="noConversion"/>
  <pageMargins left="0.75" right="0.75" top="1" bottom="0.99" header="0.52" footer="0.5"/>
  <pageSetup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57150</xdr:rowOff>
              </from>
              <to>
                <xdr:col>1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Y54"/>
  <sheetViews>
    <sheetView workbookViewId="0">
      <selection activeCell="R1" sqref="R1:R65536"/>
    </sheetView>
  </sheetViews>
  <sheetFormatPr defaultRowHeight="12.75" outlineLevelCol="1" x14ac:dyDescent="0.2"/>
  <cols>
    <col min="1" max="1" width="6.42578125" customWidth="1"/>
    <col min="2" max="2" width="1.7109375" customWidth="1"/>
    <col min="3" max="3" width="27.5703125" customWidth="1"/>
    <col min="4" max="4" width="0.42578125" customWidth="1"/>
    <col min="5" max="14" width="8.7109375" hidden="1" customWidth="1" outlineLevel="1"/>
    <col min="15" max="15" width="8.7109375" hidden="1" customWidth="1" collapsed="1"/>
    <col min="16" max="18" width="8.7109375" hidden="1" customWidth="1"/>
    <col min="19" max="20" width="8.7109375" customWidth="1"/>
    <col min="21" max="21" width="1.7109375" customWidth="1"/>
    <col min="22" max="22" width="8.7109375" customWidth="1"/>
    <col min="23" max="23" width="9" customWidth="1"/>
    <col min="24" max="25" width="8.42578125" customWidth="1"/>
  </cols>
  <sheetData>
    <row r="1" spans="1:25" ht="15.75" x14ac:dyDescent="0.25">
      <c r="A1" s="1" t="e">
        <f>#REF!</f>
        <v>#REF!</v>
      </c>
      <c r="B1" s="12" t="s">
        <v>63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25" x14ac:dyDescent="0.2">
      <c r="W3" s="3"/>
    </row>
    <row r="4" spans="1:25" ht="14.25" x14ac:dyDescent="0.2">
      <c r="E4" s="21">
        <v>1980</v>
      </c>
      <c r="F4" s="21">
        <v>1981</v>
      </c>
      <c r="G4" s="21">
        <v>1982</v>
      </c>
      <c r="H4" s="21">
        <v>1983</v>
      </c>
      <c r="I4" s="21">
        <v>1984</v>
      </c>
      <c r="J4" s="21">
        <v>1985</v>
      </c>
      <c r="K4" s="21">
        <v>1986</v>
      </c>
      <c r="L4" s="21">
        <v>1987</v>
      </c>
      <c r="M4" s="21">
        <v>1988</v>
      </c>
      <c r="N4" s="21">
        <v>1989</v>
      </c>
      <c r="O4" s="21">
        <v>1990</v>
      </c>
      <c r="P4" s="21">
        <v>1991</v>
      </c>
      <c r="Q4" s="21">
        <v>1992</v>
      </c>
      <c r="R4" s="21">
        <v>1993</v>
      </c>
      <c r="S4" s="21">
        <v>1994</v>
      </c>
      <c r="T4" s="21">
        <v>1995</v>
      </c>
      <c r="U4" s="41">
        <v>1</v>
      </c>
      <c r="V4" s="21">
        <v>1996</v>
      </c>
      <c r="W4" s="21">
        <v>1997</v>
      </c>
      <c r="X4" s="21">
        <v>1998</v>
      </c>
      <c r="Y4" s="21">
        <v>1999</v>
      </c>
    </row>
    <row r="6" spans="1:25" x14ac:dyDescent="0.2">
      <c r="D6" s="10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9" spans="1:25" x14ac:dyDescent="0.2">
      <c r="B9" s="5" t="s">
        <v>64</v>
      </c>
    </row>
    <row r="10" spans="1:25" x14ac:dyDescent="0.2">
      <c r="C10" t="s">
        <v>65</v>
      </c>
      <c r="O10" s="16">
        <v>126</v>
      </c>
      <c r="P10" s="16">
        <v>101</v>
      </c>
      <c r="Q10" s="16">
        <v>122</v>
      </c>
      <c r="R10" s="16">
        <v>97</v>
      </c>
      <c r="S10" s="16">
        <v>104</v>
      </c>
      <c r="T10" s="16">
        <v>0</v>
      </c>
      <c r="U10" s="16"/>
      <c r="V10" s="16"/>
    </row>
    <row r="11" spans="1:25" x14ac:dyDescent="0.2">
      <c r="C11" t="s">
        <v>66</v>
      </c>
      <c r="O11" s="16">
        <v>77</v>
      </c>
      <c r="P11" s="16">
        <v>42</v>
      </c>
      <c r="Q11" s="16">
        <v>67</v>
      </c>
      <c r="R11" s="16">
        <v>58</v>
      </c>
      <c r="S11" s="16">
        <v>68</v>
      </c>
      <c r="T11" s="16">
        <v>0</v>
      </c>
      <c r="U11" s="16"/>
      <c r="V11" s="16"/>
    </row>
    <row r="12" spans="1:25" x14ac:dyDescent="0.2">
      <c r="C12" t="s">
        <v>67</v>
      </c>
      <c r="O12" s="16">
        <f>-(O11/O10*100)</f>
        <v>-61.111111111111114</v>
      </c>
      <c r="P12" s="16">
        <f>-(P11/P10*100)</f>
        <v>-41.584158415841586</v>
      </c>
      <c r="Q12" s="16">
        <f>-(Q11/Q10*100)</f>
        <v>-54.918032786885249</v>
      </c>
      <c r="R12" s="16">
        <f>-(R11/R10*100)</f>
        <v>-59.793814432989691</v>
      </c>
      <c r="S12" s="16">
        <f>-(S11/S10*100)</f>
        <v>-65.384615384615387</v>
      </c>
      <c r="T12" s="16" t="s">
        <v>0</v>
      </c>
      <c r="U12" s="16"/>
      <c r="V12" s="16"/>
    </row>
    <row r="13" spans="1:25" x14ac:dyDescent="0.2">
      <c r="O13" s="16"/>
      <c r="P13" s="16"/>
      <c r="Q13" s="16"/>
      <c r="R13" s="16"/>
      <c r="S13" s="16"/>
      <c r="T13" s="16"/>
      <c r="U13" s="16"/>
      <c r="V13" s="16"/>
    </row>
    <row r="14" spans="1:25" x14ac:dyDescent="0.2">
      <c r="B14" s="5" t="s">
        <v>68</v>
      </c>
      <c r="O14" s="16"/>
      <c r="P14" s="16"/>
      <c r="Q14" s="16"/>
      <c r="R14" s="16"/>
      <c r="S14" s="16"/>
      <c r="T14" s="16"/>
      <c r="U14" s="16"/>
      <c r="V14" s="16"/>
    </row>
    <row r="15" spans="1:25" x14ac:dyDescent="0.2">
      <c r="C15" t="s">
        <v>65</v>
      </c>
      <c r="O15" s="16">
        <v>57</v>
      </c>
      <c r="P15" s="16">
        <v>65</v>
      </c>
      <c r="Q15" s="16">
        <v>48</v>
      </c>
      <c r="R15" s="16">
        <v>58</v>
      </c>
      <c r="S15" s="16">
        <v>37</v>
      </c>
      <c r="T15" s="16">
        <v>0</v>
      </c>
      <c r="U15" s="16"/>
      <c r="V15" s="16"/>
    </row>
    <row r="16" spans="1:25" x14ac:dyDescent="0.2">
      <c r="C16" t="s">
        <v>69</v>
      </c>
      <c r="O16" s="16">
        <v>36</v>
      </c>
      <c r="P16" s="16">
        <v>38</v>
      </c>
      <c r="Q16" s="16">
        <v>24</v>
      </c>
      <c r="R16" s="16">
        <v>18</v>
      </c>
      <c r="S16" s="16">
        <v>25</v>
      </c>
      <c r="T16" s="16">
        <v>0</v>
      </c>
      <c r="U16" s="16"/>
      <c r="V16" s="16"/>
    </row>
    <row r="17" spans="2:22" x14ac:dyDescent="0.2">
      <c r="C17" t="s">
        <v>67</v>
      </c>
      <c r="O17" s="16">
        <f>-(O16/O15*100)</f>
        <v>-63.157894736842103</v>
      </c>
      <c r="P17" s="16">
        <f>-(P16/P15*100)</f>
        <v>-58.461538461538467</v>
      </c>
      <c r="Q17" s="16">
        <f>-(Q16/Q15*100)</f>
        <v>-50</v>
      </c>
      <c r="R17" s="16">
        <f>-(R16/R15*100)</f>
        <v>-31.03448275862069</v>
      </c>
      <c r="S17" s="16">
        <f>-(S16/S15*100)</f>
        <v>-67.567567567567565</v>
      </c>
      <c r="T17" s="16" t="s">
        <v>0</v>
      </c>
      <c r="U17" s="16"/>
      <c r="V17" s="16"/>
    </row>
    <row r="18" spans="2:22" x14ac:dyDescent="0.2">
      <c r="C18" t="s">
        <v>70</v>
      </c>
      <c r="O18" s="16">
        <v>46</v>
      </c>
      <c r="P18" s="16">
        <v>50</v>
      </c>
      <c r="Q18" s="16">
        <v>37</v>
      </c>
      <c r="R18" s="16">
        <v>36</v>
      </c>
      <c r="S18" s="16">
        <v>31</v>
      </c>
      <c r="T18" s="16"/>
      <c r="U18" s="16"/>
      <c r="V18" s="16"/>
    </row>
    <row r="19" spans="2:22" x14ac:dyDescent="0.2">
      <c r="C19" t="s">
        <v>67</v>
      </c>
      <c r="O19" s="16">
        <f>-(O18/O15*100)</f>
        <v>-80.701754385964904</v>
      </c>
      <c r="P19" s="16">
        <f>-(P18/P15*100)</f>
        <v>-76.923076923076934</v>
      </c>
      <c r="Q19" s="16">
        <f>-(Q18/Q15*100)</f>
        <v>-77.083333333333343</v>
      </c>
      <c r="R19" s="16">
        <f>-(R18/R15*100)</f>
        <v>-62.068965517241381</v>
      </c>
      <c r="S19" s="16">
        <f>-(S18/S15*100)</f>
        <v>-83.78378378378379</v>
      </c>
      <c r="T19" s="16" t="s">
        <v>0</v>
      </c>
      <c r="U19" s="16"/>
      <c r="V19" s="16"/>
    </row>
    <row r="20" spans="2:22" x14ac:dyDescent="0.2">
      <c r="O20" s="16"/>
      <c r="P20" s="16"/>
      <c r="Q20" s="16"/>
      <c r="R20" s="16"/>
      <c r="S20" s="16"/>
      <c r="T20" s="16"/>
      <c r="U20" s="16"/>
      <c r="V20" s="16"/>
    </row>
    <row r="21" spans="2:22" x14ac:dyDescent="0.2">
      <c r="B21" s="5" t="s">
        <v>71</v>
      </c>
      <c r="O21" s="16"/>
      <c r="P21" s="16"/>
      <c r="Q21" s="16"/>
      <c r="R21" s="16"/>
      <c r="S21" s="16"/>
      <c r="T21" s="16"/>
      <c r="U21" s="16"/>
      <c r="V21" s="16"/>
    </row>
    <row r="22" spans="2:22" x14ac:dyDescent="0.2">
      <c r="C22" t="s">
        <v>65</v>
      </c>
      <c r="O22" s="16">
        <v>1417</v>
      </c>
      <c r="P22" s="16">
        <v>1342</v>
      </c>
      <c r="Q22" s="16">
        <v>1419</v>
      </c>
      <c r="R22" s="16">
        <v>1250</v>
      </c>
      <c r="S22" s="16">
        <v>654</v>
      </c>
      <c r="T22" s="16"/>
      <c r="U22" s="16"/>
      <c r="V22" s="16"/>
    </row>
    <row r="23" spans="2:22" x14ac:dyDescent="0.2">
      <c r="C23" t="s">
        <v>69</v>
      </c>
      <c r="O23" s="16">
        <v>408</v>
      </c>
      <c r="P23" s="16">
        <v>398</v>
      </c>
      <c r="Q23" s="16">
        <v>498</v>
      </c>
      <c r="R23" s="16">
        <v>371</v>
      </c>
      <c r="S23" s="16">
        <v>437</v>
      </c>
      <c r="T23" s="16"/>
      <c r="U23" s="16"/>
      <c r="V23" s="16"/>
    </row>
    <row r="24" spans="2:22" x14ac:dyDescent="0.2">
      <c r="C24" t="s">
        <v>67</v>
      </c>
      <c r="O24" s="16">
        <f>-(O23/O22*100)</f>
        <v>-28.793225123500356</v>
      </c>
      <c r="P24" s="16">
        <f>-(P23/P22*100)</f>
        <v>-29.657228017883757</v>
      </c>
      <c r="Q24" s="16">
        <f>-(Q23/Q22*100)</f>
        <v>-35.095137420718814</v>
      </c>
      <c r="R24" s="16">
        <f>-(R23/R22*100)</f>
        <v>-29.68</v>
      </c>
      <c r="S24" s="16">
        <f>-(S23/S22*100)</f>
        <v>-66.819571865443422</v>
      </c>
      <c r="T24" s="16" t="s">
        <v>0</v>
      </c>
      <c r="U24" s="16"/>
      <c r="V24" s="16"/>
    </row>
    <row r="25" spans="2:22" x14ac:dyDescent="0.2">
      <c r="C25" t="s">
        <v>70</v>
      </c>
      <c r="O25" s="16">
        <v>1254</v>
      </c>
      <c r="P25" s="16">
        <v>1225</v>
      </c>
      <c r="Q25" s="16">
        <v>1335</v>
      </c>
      <c r="R25" s="16">
        <v>1151</v>
      </c>
      <c r="S25" s="16">
        <v>624</v>
      </c>
      <c r="T25" s="16"/>
      <c r="U25" s="16"/>
      <c r="V25" s="16"/>
    </row>
    <row r="26" spans="2:22" x14ac:dyDescent="0.2">
      <c r="C26" t="s">
        <v>67</v>
      </c>
      <c r="O26" s="16">
        <f>-(O25/O22*100)</f>
        <v>-88.496824276640794</v>
      </c>
      <c r="P26" s="16">
        <f>-(P25/P22*100)</f>
        <v>-91.281669150521608</v>
      </c>
      <c r="Q26" s="16">
        <f>-(Q25/Q22*100)</f>
        <v>-94.080338266384771</v>
      </c>
      <c r="R26" s="16">
        <f>-(R25/R22*100)</f>
        <v>-92.08</v>
      </c>
      <c r="S26" s="16">
        <f>-(S25/S22*100)</f>
        <v>-95.412844036697251</v>
      </c>
      <c r="T26" s="16" t="s">
        <v>0</v>
      </c>
      <c r="U26" s="16"/>
      <c r="V26" s="16"/>
    </row>
    <row r="27" spans="2:22" x14ac:dyDescent="0.2">
      <c r="O27" s="16"/>
      <c r="P27" s="16"/>
      <c r="Q27" s="16"/>
      <c r="R27" s="16"/>
      <c r="S27" s="16"/>
      <c r="T27" s="16"/>
      <c r="U27" s="16"/>
      <c r="V27" s="16"/>
    </row>
    <row r="28" spans="2:22" x14ac:dyDescent="0.2">
      <c r="B28" s="5" t="s">
        <v>72</v>
      </c>
      <c r="O28" s="16"/>
      <c r="P28" s="16"/>
      <c r="Q28" s="16"/>
      <c r="R28" s="16"/>
      <c r="S28" s="16"/>
      <c r="T28" s="16"/>
      <c r="U28" s="16"/>
      <c r="V28" s="16"/>
    </row>
    <row r="29" spans="2:22" x14ac:dyDescent="0.2">
      <c r="C29" t="s">
        <v>65</v>
      </c>
      <c r="O29" s="16">
        <v>498</v>
      </c>
      <c r="P29" s="16">
        <v>320</v>
      </c>
      <c r="Q29" s="16">
        <v>273</v>
      </c>
      <c r="R29" s="16">
        <v>341</v>
      </c>
      <c r="S29" s="16">
        <v>995</v>
      </c>
      <c r="T29" s="16"/>
      <c r="U29" s="16"/>
      <c r="V29" s="16"/>
    </row>
    <row r="30" spans="2:22" x14ac:dyDescent="0.2">
      <c r="C30" t="s">
        <v>66</v>
      </c>
      <c r="O30" s="16">
        <v>342</v>
      </c>
      <c r="P30" s="16">
        <v>280</v>
      </c>
      <c r="Q30" s="16">
        <v>268</v>
      </c>
      <c r="R30" s="16">
        <v>311</v>
      </c>
      <c r="S30" s="16">
        <v>947</v>
      </c>
      <c r="T30" s="16"/>
      <c r="U30" s="16"/>
      <c r="V30" s="16"/>
    </row>
    <row r="31" spans="2:22" x14ac:dyDescent="0.2">
      <c r="C31" t="s">
        <v>67</v>
      </c>
      <c r="O31" s="16">
        <f>-(O30/O29*100)</f>
        <v>-68.674698795180717</v>
      </c>
      <c r="P31" s="16">
        <f>-(P30/P29*100)</f>
        <v>-87.5</v>
      </c>
      <c r="Q31" s="16">
        <f>-(Q30/Q29*100)</f>
        <v>-98.168498168498161</v>
      </c>
      <c r="R31" s="16">
        <f>-(R30/R29*100)</f>
        <v>-91.202346041055719</v>
      </c>
      <c r="S31" s="16">
        <f>-(S30/S29*100)</f>
        <v>-95.175879396984925</v>
      </c>
      <c r="T31" s="16" t="s">
        <v>0</v>
      </c>
      <c r="U31" s="16"/>
      <c r="V31" s="16"/>
    </row>
    <row r="32" spans="2:22" x14ac:dyDescent="0.2">
      <c r="O32" s="16"/>
      <c r="P32" s="16"/>
      <c r="Q32" s="16"/>
      <c r="R32" s="16"/>
      <c r="S32" s="16"/>
      <c r="T32" s="16"/>
      <c r="U32" s="16"/>
      <c r="V32" s="16"/>
    </row>
    <row r="33" spans="1:23" x14ac:dyDescent="0.2">
      <c r="B33" s="5" t="s">
        <v>73</v>
      </c>
      <c r="O33" s="16"/>
      <c r="P33" s="16"/>
      <c r="Q33" s="16"/>
      <c r="R33" s="16"/>
      <c r="S33" s="16"/>
      <c r="T33" s="16"/>
      <c r="U33" s="16"/>
      <c r="V33" s="16"/>
    </row>
    <row r="34" spans="1:23" x14ac:dyDescent="0.2">
      <c r="C34" t="s">
        <v>74</v>
      </c>
      <c r="O34" s="16">
        <v>521</v>
      </c>
      <c r="P34" s="16">
        <v>478</v>
      </c>
      <c r="Q34" s="16">
        <v>589</v>
      </c>
      <c r="R34" s="16">
        <v>447</v>
      </c>
      <c r="S34" s="16">
        <v>530</v>
      </c>
    </row>
    <row r="35" spans="1:23" x14ac:dyDescent="0.2">
      <c r="C35" t="s">
        <v>75</v>
      </c>
      <c r="O35" s="16">
        <f t="shared" ref="O35:T35" si="0">O30+O25+O18+O11</f>
        <v>1719</v>
      </c>
      <c r="P35" s="16">
        <f t="shared" si="0"/>
        <v>1597</v>
      </c>
      <c r="Q35" s="16">
        <f t="shared" si="0"/>
        <v>1707</v>
      </c>
      <c r="R35" s="16">
        <f t="shared" si="0"/>
        <v>1556</v>
      </c>
      <c r="S35" s="16">
        <f t="shared" si="0"/>
        <v>1670</v>
      </c>
      <c r="T35" s="16">
        <f t="shared" si="0"/>
        <v>0</v>
      </c>
      <c r="U35" s="16"/>
      <c r="V35" s="16"/>
    </row>
    <row r="36" spans="1:2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8" spans="1:23" x14ac:dyDescent="0.2">
      <c r="A38" s="5" t="s">
        <v>19</v>
      </c>
    </row>
    <row r="39" spans="1:23" ht="14.25" x14ac:dyDescent="0.2">
      <c r="B39" s="25">
        <v>1</v>
      </c>
      <c r="C39" t="s">
        <v>77</v>
      </c>
    </row>
    <row r="52" spans="1:23" x14ac:dyDescent="0.2">
      <c r="A52" s="11" t="s">
        <v>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20" t="e">
        <f>#REF!+1</f>
        <v>#REF!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phoneticPr fontId="0" type="noConversion"/>
  <printOptions horizontalCentered="1"/>
  <pageMargins left="1" right="1" top="1" bottom="0.5" header="0.5" footer="0.5"/>
  <pageSetup scale="9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K63"/>
  <sheetViews>
    <sheetView zoomScaleNormal="100" zoomScaleSheetLayoutView="100" workbookViewId="0">
      <selection activeCell="M4" sqref="M4"/>
    </sheetView>
  </sheetViews>
  <sheetFormatPr defaultRowHeight="12.75" x14ac:dyDescent="0.2"/>
  <cols>
    <col min="1" max="1" width="9.140625" style="29"/>
    <col min="2" max="2" width="6.42578125" style="29" customWidth="1"/>
    <col min="3" max="3" width="32.7109375" style="29" customWidth="1"/>
    <col min="4" max="16384" width="9.140625" style="29"/>
  </cols>
  <sheetData>
    <row r="2" spans="2:11" x14ac:dyDescent="0.2">
      <c r="H2" s="586" t="s">
        <v>349</v>
      </c>
      <c r="I2" s="586"/>
      <c r="J2" s="586"/>
      <c r="K2" s="586"/>
    </row>
    <row r="6" spans="2:11" ht="12.75" customHeight="1" x14ac:dyDescent="0.2">
      <c r="C6" s="397"/>
    </row>
    <row r="7" spans="2:11" ht="15.75" x14ac:dyDescent="0.25">
      <c r="B7" s="355">
        <v>3.05</v>
      </c>
      <c r="C7" s="433" t="s">
        <v>351</v>
      </c>
    </row>
    <row r="8" spans="2:11" ht="12.75" customHeight="1" x14ac:dyDescent="0.2">
      <c r="B8" s="445"/>
      <c r="C8" s="527"/>
    </row>
    <row r="10" spans="2:11" x14ac:dyDescent="0.2">
      <c r="C10" s="357" t="s">
        <v>129</v>
      </c>
      <c r="D10" s="357">
        <v>2016</v>
      </c>
      <c r="E10" s="357">
        <v>2017</v>
      </c>
      <c r="F10" s="357">
        <v>2018</v>
      </c>
      <c r="G10" s="357">
        <v>2019</v>
      </c>
      <c r="H10" s="357">
        <v>2020</v>
      </c>
      <c r="I10" s="357">
        <v>2021</v>
      </c>
      <c r="J10" s="357">
        <v>2022</v>
      </c>
      <c r="K10" s="357">
        <v>2023</v>
      </c>
    </row>
    <row r="12" spans="2:11" x14ac:dyDescent="0.2">
      <c r="C12" s="445" t="s">
        <v>130</v>
      </c>
      <c r="D12" s="445">
        <v>154</v>
      </c>
      <c r="E12" s="445">
        <v>137</v>
      </c>
      <c r="F12" s="445">
        <v>137</v>
      </c>
      <c r="G12" s="445">
        <v>157</v>
      </c>
      <c r="H12" s="445">
        <v>163</v>
      </c>
      <c r="I12" s="445">
        <v>184</v>
      </c>
      <c r="J12" s="445">
        <v>166</v>
      </c>
      <c r="K12" s="445">
        <v>173</v>
      </c>
    </row>
    <row r="13" spans="2:11" x14ac:dyDescent="0.2">
      <c r="C13" s="528" t="s">
        <v>131</v>
      </c>
      <c r="D13" s="29">
        <v>62</v>
      </c>
      <c r="E13" s="29">
        <v>40</v>
      </c>
      <c r="F13" s="29">
        <v>47</v>
      </c>
      <c r="G13" s="29">
        <v>57</v>
      </c>
      <c r="H13" s="29">
        <v>72</v>
      </c>
      <c r="I13" s="29">
        <v>64</v>
      </c>
      <c r="J13" s="29">
        <v>61</v>
      </c>
      <c r="K13" s="29">
        <v>54</v>
      </c>
    </row>
    <row r="14" spans="2:11" x14ac:dyDescent="0.2">
      <c r="C14" s="528" t="s">
        <v>132</v>
      </c>
      <c r="D14" s="29">
        <v>92</v>
      </c>
      <c r="E14" s="29">
        <v>97</v>
      </c>
      <c r="F14" s="29">
        <v>90</v>
      </c>
      <c r="G14" s="29">
        <v>100</v>
      </c>
      <c r="H14" s="29">
        <v>91</v>
      </c>
      <c r="I14" s="29">
        <v>120</v>
      </c>
      <c r="J14" s="29">
        <v>105</v>
      </c>
      <c r="K14" s="351">
        <v>119</v>
      </c>
    </row>
    <row r="15" spans="2:11" x14ac:dyDescent="0.2">
      <c r="C15" s="351"/>
    </row>
    <row r="16" spans="2:11" x14ac:dyDescent="0.2">
      <c r="C16" s="445" t="s">
        <v>120</v>
      </c>
      <c r="D16" s="445">
        <v>738</v>
      </c>
      <c r="E16" s="445">
        <v>759</v>
      </c>
      <c r="F16" s="445">
        <v>729</v>
      </c>
      <c r="G16" s="445">
        <v>769</v>
      </c>
      <c r="H16" s="445">
        <v>785</v>
      </c>
      <c r="I16" s="445">
        <v>886</v>
      </c>
      <c r="J16" s="445">
        <v>750</v>
      </c>
      <c r="K16" s="445">
        <v>846</v>
      </c>
    </row>
    <row r="17" spans="3:11" x14ac:dyDescent="0.2">
      <c r="C17" s="528" t="s">
        <v>131</v>
      </c>
      <c r="D17" s="29">
        <v>316</v>
      </c>
      <c r="E17" s="29">
        <v>334</v>
      </c>
      <c r="F17" s="29">
        <v>349</v>
      </c>
      <c r="G17" s="29">
        <v>334</v>
      </c>
      <c r="H17" s="29">
        <v>317</v>
      </c>
      <c r="I17" s="29">
        <v>349</v>
      </c>
      <c r="J17" s="29">
        <v>262</v>
      </c>
      <c r="K17" s="29">
        <v>359</v>
      </c>
    </row>
    <row r="18" spans="3:11" x14ac:dyDescent="0.2">
      <c r="C18" s="528" t="s">
        <v>132</v>
      </c>
      <c r="D18" s="29">
        <v>422</v>
      </c>
      <c r="E18" s="29">
        <v>425</v>
      </c>
      <c r="F18" s="29">
        <v>380</v>
      </c>
      <c r="G18" s="29">
        <v>435</v>
      </c>
      <c r="H18" s="29">
        <v>468</v>
      </c>
      <c r="I18" s="29">
        <v>537</v>
      </c>
      <c r="J18" s="29">
        <v>488</v>
      </c>
      <c r="K18" s="29">
        <v>487</v>
      </c>
    </row>
    <row r="19" spans="3:11" x14ac:dyDescent="0.2">
      <c r="C19" s="528"/>
    </row>
    <row r="20" spans="3:11" ht="14.25" x14ac:dyDescent="0.2">
      <c r="C20" s="465" t="s">
        <v>162</v>
      </c>
      <c r="D20" s="380">
        <v>85</v>
      </c>
      <c r="E20" s="380">
        <v>94</v>
      </c>
      <c r="F20" s="380">
        <v>92</v>
      </c>
      <c r="G20" s="380">
        <v>114</v>
      </c>
      <c r="H20" s="445">
        <v>86</v>
      </c>
      <c r="I20" s="445">
        <v>77</v>
      </c>
      <c r="J20" s="380">
        <v>75</v>
      </c>
      <c r="K20" s="380">
        <v>94</v>
      </c>
    </row>
    <row r="21" spans="3:11" ht="14.25" x14ac:dyDescent="0.2">
      <c r="C21" s="528" t="s">
        <v>326</v>
      </c>
      <c r="D21" s="529">
        <v>13</v>
      </c>
      <c r="E21" s="529">
        <v>16</v>
      </c>
      <c r="F21" s="529">
        <v>23</v>
      </c>
      <c r="G21" s="529">
        <v>20</v>
      </c>
      <c r="H21" s="529">
        <v>4</v>
      </c>
      <c r="I21" s="529">
        <v>17</v>
      </c>
      <c r="J21" s="529">
        <v>24</v>
      </c>
      <c r="K21" s="529">
        <v>29</v>
      </c>
    </row>
    <row r="22" spans="3:11" x14ac:dyDescent="0.2">
      <c r="C22" s="528" t="s">
        <v>122</v>
      </c>
      <c r="D22" s="529">
        <v>19</v>
      </c>
      <c r="E22" s="529">
        <v>17</v>
      </c>
      <c r="F22" s="529">
        <v>20</v>
      </c>
      <c r="G22" s="529">
        <v>22</v>
      </c>
      <c r="H22" s="529">
        <v>15</v>
      </c>
      <c r="I22" s="529">
        <v>16</v>
      </c>
      <c r="J22" s="529">
        <v>9</v>
      </c>
      <c r="K22" s="529">
        <v>18</v>
      </c>
    </row>
    <row r="23" spans="3:11" x14ac:dyDescent="0.2">
      <c r="C23" s="528" t="s">
        <v>352</v>
      </c>
      <c r="D23" s="530" t="s">
        <v>78</v>
      </c>
      <c r="E23" s="530" t="s">
        <v>78</v>
      </c>
      <c r="F23" s="530" t="s">
        <v>78</v>
      </c>
      <c r="G23" s="530" t="s">
        <v>78</v>
      </c>
      <c r="H23" s="530" t="s">
        <v>78</v>
      </c>
      <c r="I23" s="530"/>
      <c r="J23" s="29">
        <f>-L26</f>
        <v>0</v>
      </c>
      <c r="K23" s="29">
        <v>1</v>
      </c>
    </row>
    <row r="24" spans="3:11" x14ac:dyDescent="0.2">
      <c r="C24" s="528" t="s">
        <v>327</v>
      </c>
      <c r="D24" s="529">
        <v>7</v>
      </c>
      <c r="E24" s="529">
        <v>14</v>
      </c>
      <c r="F24" s="529">
        <v>11</v>
      </c>
      <c r="G24" s="529">
        <v>17</v>
      </c>
      <c r="H24" s="529">
        <v>15</v>
      </c>
      <c r="I24" s="529">
        <v>7</v>
      </c>
      <c r="J24" s="529">
        <v>6</v>
      </c>
      <c r="K24" s="529">
        <v>13</v>
      </c>
    </row>
    <row r="25" spans="3:11" x14ac:dyDescent="0.2">
      <c r="C25" s="528" t="s">
        <v>36</v>
      </c>
      <c r="D25" s="529">
        <v>46</v>
      </c>
      <c r="E25" s="529">
        <v>39</v>
      </c>
      <c r="F25" s="529">
        <v>35</v>
      </c>
      <c r="G25" s="529">
        <v>42</v>
      </c>
      <c r="H25" s="529">
        <v>36</v>
      </c>
      <c r="I25" s="529">
        <v>31</v>
      </c>
      <c r="J25" s="529">
        <v>35</v>
      </c>
      <c r="K25" s="529">
        <v>24</v>
      </c>
    </row>
    <row r="26" spans="3:11" x14ac:dyDescent="0.2">
      <c r="C26" s="528" t="s">
        <v>133</v>
      </c>
      <c r="D26" s="352" t="s">
        <v>78</v>
      </c>
      <c r="E26" s="352" t="s">
        <v>78</v>
      </c>
      <c r="F26" s="352" t="s">
        <v>78</v>
      </c>
      <c r="G26" s="352" t="s">
        <v>78</v>
      </c>
      <c r="H26" s="352" t="s">
        <v>78</v>
      </c>
      <c r="I26" s="352" t="s">
        <v>78</v>
      </c>
      <c r="J26" s="377" t="s">
        <v>78</v>
      </c>
      <c r="K26" s="377">
        <v>7</v>
      </c>
    </row>
    <row r="27" spans="3:11" x14ac:dyDescent="0.2">
      <c r="C27" s="528" t="s">
        <v>180</v>
      </c>
      <c r="D27" s="352" t="s">
        <v>78</v>
      </c>
      <c r="E27" s="352" t="s">
        <v>78</v>
      </c>
      <c r="F27" s="352" t="s">
        <v>78</v>
      </c>
      <c r="G27" s="352" t="s">
        <v>78</v>
      </c>
      <c r="H27" s="352" t="s">
        <v>78</v>
      </c>
      <c r="I27" s="352" t="s">
        <v>78</v>
      </c>
      <c r="J27" s="377" t="s">
        <v>78</v>
      </c>
      <c r="K27" s="377" t="s">
        <v>78</v>
      </c>
    </row>
    <row r="28" spans="3:11" x14ac:dyDescent="0.2">
      <c r="C28" s="528" t="s">
        <v>328</v>
      </c>
      <c r="D28" s="352"/>
      <c r="E28" s="352"/>
      <c r="F28" s="352"/>
      <c r="G28" s="352">
        <v>5</v>
      </c>
      <c r="H28" s="352">
        <v>9</v>
      </c>
      <c r="I28" s="352">
        <v>6</v>
      </c>
      <c r="J28" s="529">
        <v>1</v>
      </c>
      <c r="K28" s="529">
        <v>1</v>
      </c>
    </row>
    <row r="29" spans="3:11" x14ac:dyDescent="0.2">
      <c r="C29" s="528" t="s">
        <v>278</v>
      </c>
      <c r="D29" s="352" t="s">
        <v>78</v>
      </c>
      <c r="E29" s="352">
        <v>8</v>
      </c>
      <c r="F29" s="352">
        <v>3</v>
      </c>
      <c r="G29" s="352">
        <v>8</v>
      </c>
      <c r="H29" s="352">
        <v>7</v>
      </c>
      <c r="I29" s="352" t="s">
        <v>78</v>
      </c>
      <c r="J29" s="529">
        <v>0</v>
      </c>
      <c r="K29" s="529">
        <v>0</v>
      </c>
    </row>
    <row r="30" spans="3:11" x14ac:dyDescent="0.2">
      <c r="C30" s="528" t="s">
        <v>353</v>
      </c>
      <c r="D30" s="352"/>
      <c r="E30" s="352"/>
      <c r="F30" s="352"/>
      <c r="G30" s="352"/>
      <c r="H30" s="352"/>
      <c r="I30" s="352"/>
      <c r="J30" s="529"/>
      <c r="K30" s="529">
        <v>1</v>
      </c>
    </row>
    <row r="31" spans="3:11" x14ac:dyDescent="0.2">
      <c r="C31" s="528"/>
      <c r="D31" s="529"/>
      <c r="E31" s="529"/>
      <c r="F31" s="529"/>
      <c r="G31" s="529"/>
      <c r="H31" s="529"/>
      <c r="I31" s="529"/>
    </row>
    <row r="32" spans="3:11" ht="14.25" x14ac:dyDescent="0.2">
      <c r="C32" s="465" t="s">
        <v>329</v>
      </c>
      <c r="D32" s="531">
        <v>22</v>
      </c>
      <c r="E32" s="531">
        <v>5</v>
      </c>
      <c r="F32" s="531">
        <v>8</v>
      </c>
      <c r="G32" s="531">
        <v>28</v>
      </c>
      <c r="H32" s="380">
        <v>119</v>
      </c>
      <c r="I32" s="380">
        <v>1</v>
      </c>
      <c r="J32" s="377" t="s">
        <v>78</v>
      </c>
      <c r="K32" s="531">
        <v>2</v>
      </c>
    </row>
    <row r="33" spans="3:11" x14ac:dyDescent="0.2">
      <c r="C33" s="528" t="s">
        <v>125</v>
      </c>
      <c r="D33" s="377" t="s">
        <v>78</v>
      </c>
      <c r="E33" s="377" t="s">
        <v>78</v>
      </c>
      <c r="F33" s="377" t="s">
        <v>78</v>
      </c>
      <c r="G33" s="377" t="s">
        <v>78</v>
      </c>
      <c r="H33" s="377" t="s">
        <v>78</v>
      </c>
      <c r="I33" s="377"/>
      <c r="J33" s="377" t="s">
        <v>78</v>
      </c>
      <c r="K33" s="377" t="s">
        <v>78</v>
      </c>
    </row>
    <row r="34" spans="3:11" x14ac:dyDescent="0.2">
      <c r="C34" s="528" t="s">
        <v>134</v>
      </c>
      <c r="D34" s="377" t="s">
        <v>78</v>
      </c>
      <c r="E34" s="377" t="s">
        <v>78</v>
      </c>
      <c r="F34" s="377" t="s">
        <v>78</v>
      </c>
      <c r="G34" s="377" t="s">
        <v>78</v>
      </c>
      <c r="H34" s="377" t="s">
        <v>78</v>
      </c>
      <c r="I34" s="377"/>
      <c r="J34" s="377" t="s">
        <v>78</v>
      </c>
      <c r="K34" s="377" t="s">
        <v>78</v>
      </c>
    </row>
    <row r="35" spans="3:11" x14ac:dyDescent="0.2">
      <c r="C35" s="528" t="s">
        <v>126</v>
      </c>
      <c r="D35" s="529">
        <v>10</v>
      </c>
      <c r="E35" s="529">
        <v>5</v>
      </c>
      <c r="F35" s="529">
        <v>8</v>
      </c>
      <c r="G35" s="529">
        <v>4</v>
      </c>
      <c r="H35" s="529">
        <v>7</v>
      </c>
      <c r="I35" s="529">
        <v>1</v>
      </c>
      <c r="J35" s="377">
        <v>0</v>
      </c>
      <c r="K35" s="377">
        <v>2</v>
      </c>
    </row>
    <row r="36" spans="3:11" x14ac:dyDescent="0.2">
      <c r="C36" s="528" t="s">
        <v>127</v>
      </c>
      <c r="D36" s="529">
        <v>12</v>
      </c>
      <c r="E36" s="529" t="s">
        <v>78</v>
      </c>
      <c r="F36" s="529" t="s">
        <v>78</v>
      </c>
      <c r="G36" s="529" t="s">
        <v>78</v>
      </c>
      <c r="H36" s="529" t="s">
        <v>78</v>
      </c>
      <c r="I36" s="529"/>
      <c r="J36" s="377" t="s">
        <v>78</v>
      </c>
      <c r="K36" s="377" t="s">
        <v>78</v>
      </c>
    </row>
    <row r="37" spans="3:11" x14ac:dyDescent="0.2">
      <c r="C37" s="528" t="s">
        <v>128</v>
      </c>
      <c r="D37" s="377" t="s">
        <v>78</v>
      </c>
      <c r="E37" s="529" t="s">
        <v>78</v>
      </c>
      <c r="F37" s="529" t="s">
        <v>78</v>
      </c>
      <c r="G37" s="529" t="s">
        <v>78</v>
      </c>
      <c r="H37" s="529" t="s">
        <v>78</v>
      </c>
      <c r="I37" s="529"/>
      <c r="J37" s="377" t="s">
        <v>78</v>
      </c>
      <c r="K37" s="377" t="s">
        <v>78</v>
      </c>
    </row>
    <row r="38" spans="3:11" x14ac:dyDescent="0.2">
      <c r="C38" s="528" t="s">
        <v>330</v>
      </c>
      <c r="D38" s="377"/>
      <c r="E38" s="377"/>
      <c r="F38" s="377"/>
      <c r="G38" s="377">
        <v>24</v>
      </c>
      <c r="H38" s="377">
        <v>112</v>
      </c>
      <c r="I38" s="377"/>
      <c r="J38" s="377" t="s">
        <v>78</v>
      </c>
      <c r="K38" s="377" t="s">
        <v>78</v>
      </c>
    </row>
    <row r="39" spans="3:11" x14ac:dyDescent="0.2">
      <c r="C39" s="528"/>
      <c r="D39" s="529"/>
      <c r="E39" s="529"/>
      <c r="F39" s="529"/>
      <c r="G39" s="529"/>
      <c r="H39" s="529"/>
      <c r="I39" s="529"/>
    </row>
    <row r="40" spans="3:11" x14ac:dyDescent="0.2">
      <c r="C40" s="532" t="s">
        <v>331</v>
      </c>
      <c r="D40" s="380">
        <v>25</v>
      </c>
      <c r="E40" s="380">
        <v>13</v>
      </c>
      <c r="F40" s="380">
        <v>19</v>
      </c>
      <c r="G40" s="380">
        <v>36</v>
      </c>
      <c r="H40" s="380">
        <v>11</v>
      </c>
      <c r="I40" s="380">
        <v>14</v>
      </c>
      <c r="J40" s="380">
        <v>12</v>
      </c>
      <c r="K40" s="380">
        <v>19</v>
      </c>
    </row>
    <row r="41" spans="3:11" x14ac:dyDescent="0.2">
      <c r="C41" s="528" t="s">
        <v>39</v>
      </c>
      <c r="D41" s="529">
        <v>0</v>
      </c>
      <c r="E41" s="529">
        <v>1</v>
      </c>
      <c r="F41" s="529">
        <v>10</v>
      </c>
      <c r="G41" s="529">
        <v>9</v>
      </c>
      <c r="H41" s="529">
        <v>0</v>
      </c>
      <c r="I41" s="529">
        <v>13</v>
      </c>
      <c r="J41" s="529">
        <v>12</v>
      </c>
      <c r="K41" s="529">
        <v>12</v>
      </c>
    </row>
    <row r="42" spans="3:11" x14ac:dyDescent="0.2">
      <c r="C42" s="528" t="s">
        <v>141</v>
      </c>
      <c r="D42" s="529">
        <v>3</v>
      </c>
      <c r="E42" s="529">
        <v>4</v>
      </c>
      <c r="F42" s="529">
        <v>2</v>
      </c>
      <c r="G42" s="529">
        <v>3</v>
      </c>
      <c r="H42" s="529">
        <v>6</v>
      </c>
      <c r="I42" s="377" t="s">
        <v>78</v>
      </c>
      <c r="J42" s="377" t="s">
        <v>78</v>
      </c>
      <c r="K42" s="377" t="s">
        <v>78</v>
      </c>
    </row>
    <row r="43" spans="3:11" x14ac:dyDescent="0.2">
      <c r="C43" s="528" t="s">
        <v>142</v>
      </c>
      <c r="D43" s="29">
        <v>9</v>
      </c>
      <c r="E43" s="29">
        <v>0</v>
      </c>
      <c r="F43" s="29">
        <v>5</v>
      </c>
      <c r="G43" s="29">
        <v>19</v>
      </c>
      <c r="H43" s="29">
        <v>5</v>
      </c>
      <c r="I43" s="377" t="s">
        <v>78</v>
      </c>
      <c r="J43" s="377" t="s">
        <v>78</v>
      </c>
      <c r="K43" s="377">
        <v>6</v>
      </c>
    </row>
    <row r="44" spans="3:11" x14ac:dyDescent="0.2">
      <c r="C44" s="528" t="s">
        <v>144</v>
      </c>
      <c r="D44" s="352">
        <v>13</v>
      </c>
      <c r="E44" s="352">
        <v>8</v>
      </c>
      <c r="F44" s="352">
        <v>2</v>
      </c>
      <c r="G44" s="352">
        <v>5</v>
      </c>
      <c r="H44" s="352">
        <v>0</v>
      </c>
      <c r="I44" s="352">
        <v>1</v>
      </c>
      <c r="J44" s="352">
        <v>0</v>
      </c>
      <c r="K44" s="352">
        <v>1</v>
      </c>
    </row>
    <row r="45" spans="3:11" x14ac:dyDescent="0.2">
      <c r="D45" s="529"/>
      <c r="E45" s="529"/>
      <c r="F45" s="529"/>
      <c r="G45" s="529"/>
      <c r="H45" s="529"/>
      <c r="I45" s="529"/>
    </row>
    <row r="46" spans="3:11" ht="14.25" x14ac:dyDescent="0.2">
      <c r="C46" s="532" t="s">
        <v>332</v>
      </c>
      <c r="D46" s="380">
        <v>103</v>
      </c>
      <c r="E46" s="380">
        <v>183</v>
      </c>
      <c r="F46" s="380">
        <v>155</v>
      </c>
      <c r="G46" s="380">
        <v>206</v>
      </c>
      <c r="H46" s="380">
        <v>299</v>
      </c>
      <c r="I46" s="380">
        <v>265</v>
      </c>
      <c r="J46" s="445">
        <v>254</v>
      </c>
      <c r="K46" s="445">
        <v>202</v>
      </c>
    </row>
    <row r="47" spans="3:11" x14ac:dyDescent="0.2">
      <c r="C47" s="533" t="s">
        <v>340</v>
      </c>
      <c r="D47" s="377" t="s">
        <v>78</v>
      </c>
      <c r="E47" s="377" t="s">
        <v>78</v>
      </c>
      <c r="F47" s="377" t="s">
        <v>78</v>
      </c>
      <c r="G47" s="377" t="s">
        <v>78</v>
      </c>
      <c r="H47" s="377" t="s">
        <v>78</v>
      </c>
      <c r="I47" s="377" t="s">
        <v>78</v>
      </c>
      <c r="J47" s="29">
        <v>78</v>
      </c>
      <c r="K47" s="29">
        <v>81</v>
      </c>
    </row>
    <row r="48" spans="3:11" x14ac:dyDescent="0.2">
      <c r="C48" s="533" t="s">
        <v>341</v>
      </c>
      <c r="D48" s="377" t="s">
        <v>78</v>
      </c>
      <c r="E48" s="377" t="s">
        <v>78</v>
      </c>
      <c r="F48" s="377" t="s">
        <v>78</v>
      </c>
      <c r="G48" s="377" t="s">
        <v>78</v>
      </c>
      <c r="H48" s="377" t="s">
        <v>78</v>
      </c>
      <c r="I48" s="377" t="s">
        <v>78</v>
      </c>
      <c r="J48" s="29">
        <v>61</v>
      </c>
      <c r="K48" s="29">
        <v>6</v>
      </c>
    </row>
    <row r="49" spans="2:11" x14ac:dyDescent="0.2">
      <c r="C49" s="533" t="s">
        <v>342</v>
      </c>
      <c r="D49" s="377" t="s">
        <v>78</v>
      </c>
      <c r="E49" s="377" t="s">
        <v>78</v>
      </c>
      <c r="F49" s="377" t="s">
        <v>78</v>
      </c>
      <c r="G49" s="377" t="s">
        <v>78</v>
      </c>
      <c r="H49" s="377" t="s">
        <v>78</v>
      </c>
      <c r="I49" s="377" t="s">
        <v>78</v>
      </c>
      <c r="J49" s="29">
        <v>115</v>
      </c>
      <c r="K49" s="29">
        <v>115</v>
      </c>
    </row>
    <row r="50" spans="2:11" x14ac:dyDescent="0.2">
      <c r="C50" s="533"/>
      <c r="D50" s="380"/>
      <c r="E50" s="380"/>
      <c r="F50" s="380"/>
      <c r="G50" s="380"/>
      <c r="H50" s="380"/>
      <c r="I50" s="380"/>
    </row>
    <row r="51" spans="2:11" ht="14.25" x14ac:dyDescent="0.2">
      <c r="C51" s="534" t="s">
        <v>307</v>
      </c>
      <c r="D51" s="535">
        <v>30</v>
      </c>
      <c r="E51" s="535">
        <v>23</v>
      </c>
      <c r="F51" s="535">
        <v>33</v>
      </c>
      <c r="G51" s="535">
        <v>41</v>
      </c>
      <c r="H51" s="535">
        <v>71</v>
      </c>
      <c r="I51" s="535">
        <v>55</v>
      </c>
      <c r="J51" s="535">
        <v>78</v>
      </c>
      <c r="K51" s="535">
        <v>89</v>
      </c>
    </row>
    <row r="52" spans="2:11" x14ac:dyDescent="0.2">
      <c r="C52" s="528"/>
      <c r="D52" s="529"/>
      <c r="E52" s="529"/>
      <c r="F52" s="529"/>
    </row>
    <row r="53" spans="2:11" ht="17.25" customHeight="1" x14ac:dyDescent="0.2">
      <c r="C53" s="465" t="s">
        <v>118</v>
      </c>
      <c r="D53" s="529"/>
      <c r="E53" s="529"/>
      <c r="F53" s="529"/>
    </row>
    <row r="54" spans="2:11" ht="27.75" customHeight="1" x14ac:dyDescent="0.2">
      <c r="B54" s="536">
        <v>1</v>
      </c>
      <c r="C54" s="537" t="s">
        <v>333</v>
      </c>
      <c r="D54" s="529"/>
      <c r="E54" s="529"/>
      <c r="F54" s="529"/>
    </row>
    <row r="55" spans="2:11" ht="39" customHeight="1" x14ac:dyDescent="0.2">
      <c r="B55" s="538">
        <v>2</v>
      </c>
      <c r="C55" s="537" t="s">
        <v>334</v>
      </c>
      <c r="D55" s="529"/>
      <c r="E55" s="529"/>
      <c r="F55" s="529"/>
    </row>
    <row r="56" spans="2:11" ht="16.5" x14ac:dyDescent="0.2">
      <c r="B56" s="538">
        <v>3</v>
      </c>
      <c r="C56" s="539" t="s">
        <v>335</v>
      </c>
      <c r="D56" s="529"/>
      <c r="E56" s="529"/>
      <c r="F56" s="529"/>
    </row>
    <row r="57" spans="2:11" ht="50.25" customHeight="1" x14ac:dyDescent="0.2">
      <c r="B57" s="538">
        <v>4</v>
      </c>
      <c r="C57" s="610" t="s">
        <v>336</v>
      </c>
      <c r="D57" s="610"/>
      <c r="E57" s="529"/>
      <c r="F57" s="529"/>
    </row>
    <row r="58" spans="2:11" ht="16.5" x14ac:dyDescent="0.2">
      <c r="B58" s="538">
        <v>5</v>
      </c>
      <c r="C58" s="540" t="s">
        <v>337</v>
      </c>
      <c r="D58" s="529"/>
      <c r="E58" s="529"/>
      <c r="F58" s="529"/>
    </row>
    <row r="59" spans="2:11" ht="27" customHeight="1" x14ac:dyDescent="0.2">
      <c r="B59" s="538">
        <v>6</v>
      </c>
      <c r="C59" s="610" t="s">
        <v>338</v>
      </c>
      <c r="D59" s="610"/>
      <c r="E59" s="529"/>
      <c r="F59" s="529"/>
    </row>
    <row r="60" spans="2:11" x14ac:dyDescent="0.2">
      <c r="B60" s="611">
        <v>7</v>
      </c>
      <c r="C60" s="610" t="s">
        <v>339</v>
      </c>
      <c r="D60" s="610"/>
      <c r="E60" s="610"/>
      <c r="F60" s="610"/>
      <c r="G60" s="610"/>
      <c r="H60" s="610"/>
    </row>
    <row r="61" spans="2:11" x14ac:dyDescent="0.2">
      <c r="B61" s="611"/>
      <c r="C61" s="610"/>
      <c r="D61" s="610"/>
      <c r="E61" s="610"/>
      <c r="F61" s="610"/>
      <c r="G61" s="610"/>
      <c r="H61" s="610"/>
    </row>
    <row r="62" spans="2:11" ht="14.25" x14ac:dyDescent="0.2">
      <c r="B62" s="325"/>
      <c r="C62" s="398" t="s">
        <v>176</v>
      </c>
      <c r="D62" s="529"/>
      <c r="E62" s="529"/>
      <c r="F62" s="529"/>
    </row>
    <row r="63" spans="2:11" x14ac:dyDescent="0.2">
      <c r="C63" s="398"/>
      <c r="D63" s="529"/>
      <c r="E63" s="529"/>
    </row>
  </sheetData>
  <mergeCells count="5">
    <mergeCell ref="H2:K2"/>
    <mergeCell ref="C57:D57"/>
    <mergeCell ref="C59:D59"/>
    <mergeCell ref="B60:B61"/>
    <mergeCell ref="C60:H61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41" r:id="rId4">
          <objectPr defaultSize="0" autoPict="0" r:id="rId5">
            <anchor moveWithCells="1" sizeWithCells="1">
              <from>
                <xdr:col>2</xdr:col>
                <xdr:colOff>352425</xdr:colOff>
                <xdr:row>0</xdr:row>
                <xdr:rowOff>0</xdr:rowOff>
              </from>
              <to>
                <xdr:col>2</xdr:col>
                <xdr:colOff>1400175</xdr:colOff>
                <xdr:row>3</xdr:row>
                <xdr:rowOff>85725</xdr:rowOff>
              </to>
            </anchor>
          </objectPr>
        </oleObject>
      </mc:Choice>
      <mc:Fallback>
        <oleObject progId="MSPhotoEd.3" shapeId="39941" r:id="rId4"/>
      </mc:Fallback>
    </mc:AlternateContent>
    <mc:AlternateContent xmlns:mc="http://schemas.openxmlformats.org/markup-compatibility/2006">
      <mc:Choice Requires="x14">
        <oleObject progId="MSPhotoEd.3" shapeId="39943" r:id="rId6">
          <objectPr defaultSize="0" autoPict="0" r:id="rId5">
            <anchor moveWithCells="1" sizeWithCells="1">
              <from>
                <xdr:col>2</xdr:col>
                <xdr:colOff>476250</xdr:colOff>
                <xdr:row>0</xdr:row>
                <xdr:rowOff>0</xdr:rowOff>
              </from>
              <to>
                <xdr:col>2</xdr:col>
                <xdr:colOff>1524000</xdr:colOff>
                <xdr:row>3</xdr:row>
                <xdr:rowOff>85725</xdr:rowOff>
              </to>
            </anchor>
          </objectPr>
        </oleObject>
      </mc:Choice>
      <mc:Fallback>
        <oleObject progId="MSPhotoEd.3" shapeId="39943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FFFF00"/>
    <pageSetUpPr fitToPage="1"/>
  </sheetPr>
  <dimension ref="B2:N66"/>
  <sheetViews>
    <sheetView zoomScaleNormal="100" zoomScaleSheetLayoutView="100" workbookViewId="0">
      <selection activeCell="N3" sqref="N3"/>
    </sheetView>
  </sheetViews>
  <sheetFormatPr defaultRowHeight="14.25" x14ac:dyDescent="0.2"/>
  <cols>
    <col min="1" max="1" width="9.140625" style="325"/>
    <col min="2" max="2" width="6.140625" style="325" customWidth="1"/>
    <col min="3" max="3" width="1.42578125" style="325" customWidth="1"/>
    <col min="4" max="4" width="37.42578125" style="325" customWidth="1"/>
    <col min="5" max="10" width="9.140625" style="325"/>
    <col min="11" max="11" width="9.140625" style="325" customWidth="1"/>
    <col min="12" max="16384" width="9.140625" style="325"/>
  </cols>
  <sheetData>
    <row r="2" spans="2:12" x14ac:dyDescent="0.2">
      <c r="G2" s="586" t="s">
        <v>349</v>
      </c>
      <c r="H2" s="586"/>
      <c r="I2" s="586"/>
      <c r="J2" s="586"/>
      <c r="K2" s="586"/>
    </row>
    <row r="5" spans="2:12" ht="9" customHeight="1" x14ac:dyDescent="0.2"/>
    <row r="6" spans="2:12" ht="12" customHeight="1" x14ac:dyDescent="0.2"/>
    <row r="8" spans="2:12" ht="15.75" customHeight="1" x14ac:dyDescent="0.25">
      <c r="B8" s="328">
        <v>3.06</v>
      </c>
      <c r="C8" s="612" t="s">
        <v>350</v>
      </c>
      <c r="D8" s="612"/>
      <c r="E8" s="612"/>
      <c r="F8" s="612"/>
      <c r="G8" s="612"/>
      <c r="H8" s="612"/>
      <c r="I8" s="612"/>
      <c r="J8" s="612"/>
      <c r="K8" s="612"/>
    </row>
    <row r="9" spans="2:12" ht="14.25" customHeight="1" x14ac:dyDescent="0.25">
      <c r="C9" s="350"/>
      <c r="D9" s="350"/>
      <c r="E9" s="350"/>
      <c r="F9" s="350"/>
      <c r="G9" s="350"/>
      <c r="H9" s="350"/>
      <c r="I9" s="350"/>
      <c r="J9" s="350"/>
    </row>
    <row r="11" spans="2:12" ht="15" x14ac:dyDescent="0.25">
      <c r="C11" s="334"/>
      <c r="D11" s="334"/>
      <c r="E11" s="329">
        <v>2016</v>
      </c>
      <c r="F11" s="335">
        <v>2017</v>
      </c>
      <c r="G11" s="335">
        <v>2018</v>
      </c>
      <c r="H11" s="335">
        <v>2019</v>
      </c>
      <c r="I11" s="335">
        <v>2020</v>
      </c>
      <c r="J11" s="335">
        <v>2021</v>
      </c>
      <c r="K11" s="335">
        <v>2022</v>
      </c>
      <c r="L11" s="335">
        <v>2023</v>
      </c>
    </row>
    <row r="12" spans="2:12" ht="15" x14ac:dyDescent="0.25">
      <c r="C12" s="336"/>
      <c r="D12" s="336"/>
      <c r="F12" s="338"/>
      <c r="G12" s="339"/>
      <c r="H12" s="339"/>
      <c r="I12" s="339"/>
      <c r="J12" s="339"/>
      <c r="K12" s="339"/>
      <c r="L12" s="339"/>
    </row>
    <row r="13" spans="2:12" ht="15" x14ac:dyDescent="0.25">
      <c r="C13" s="331" t="s">
        <v>91</v>
      </c>
      <c r="E13" s="341">
        <v>467</v>
      </c>
      <c r="F13" s="337">
        <v>572</v>
      </c>
      <c r="G13" s="337">
        <v>593</v>
      </c>
      <c r="H13" s="340">
        <v>570</v>
      </c>
      <c r="I13" s="340">
        <v>542</v>
      </c>
      <c r="J13" s="340">
        <v>539</v>
      </c>
      <c r="K13" s="340">
        <v>724</v>
      </c>
      <c r="L13" s="340">
        <v>826</v>
      </c>
    </row>
    <row r="14" spans="2:12" ht="15" x14ac:dyDescent="0.25">
      <c r="C14" s="331"/>
      <c r="D14" s="325" t="s">
        <v>26</v>
      </c>
      <c r="E14" s="342">
        <v>321</v>
      </c>
      <c r="F14" s="338">
        <v>382</v>
      </c>
      <c r="G14" s="339">
        <v>394</v>
      </c>
      <c r="H14" s="339">
        <v>376</v>
      </c>
      <c r="I14" s="339">
        <v>343</v>
      </c>
      <c r="J14" s="339">
        <v>335</v>
      </c>
      <c r="K14" s="339">
        <v>444</v>
      </c>
      <c r="L14" s="339">
        <v>516</v>
      </c>
    </row>
    <row r="15" spans="2:12" x14ac:dyDescent="0.2">
      <c r="D15" s="325" t="s">
        <v>25</v>
      </c>
      <c r="E15" s="342">
        <v>146</v>
      </c>
      <c r="F15" s="338">
        <v>190</v>
      </c>
      <c r="G15" s="339">
        <v>199</v>
      </c>
      <c r="H15" s="339">
        <v>194</v>
      </c>
      <c r="I15" s="339">
        <v>199</v>
      </c>
      <c r="J15" s="339">
        <v>204</v>
      </c>
      <c r="K15" s="339">
        <v>280</v>
      </c>
      <c r="L15" s="339">
        <v>310</v>
      </c>
    </row>
    <row r="16" spans="2:12" x14ac:dyDescent="0.2">
      <c r="E16" s="342"/>
      <c r="F16" s="338"/>
      <c r="G16" s="339"/>
      <c r="H16" s="339"/>
      <c r="I16" s="339"/>
      <c r="J16" s="339"/>
      <c r="K16" s="339"/>
      <c r="L16" s="339"/>
    </row>
    <row r="17" spans="3:12" ht="15" x14ac:dyDescent="0.25">
      <c r="C17" s="331" t="s">
        <v>85</v>
      </c>
      <c r="E17" s="341">
        <v>15</v>
      </c>
      <c r="F17" s="348">
        <v>30</v>
      </c>
      <c r="G17" s="337">
        <v>43</v>
      </c>
      <c r="H17" s="340">
        <v>43</v>
      </c>
      <c r="I17" s="340">
        <v>41</v>
      </c>
      <c r="J17" s="340">
        <v>42</v>
      </c>
      <c r="K17" s="340">
        <v>58</v>
      </c>
      <c r="L17" s="340">
        <v>66</v>
      </c>
    </row>
    <row r="18" spans="3:12" ht="15" x14ac:dyDescent="0.25">
      <c r="D18" s="325" t="s">
        <v>26</v>
      </c>
      <c r="E18" s="584">
        <v>9</v>
      </c>
      <c r="F18" s="585">
        <v>22</v>
      </c>
      <c r="G18" s="339">
        <v>30</v>
      </c>
      <c r="H18" s="339">
        <v>30</v>
      </c>
      <c r="I18" s="339">
        <v>27</v>
      </c>
      <c r="J18" s="339">
        <v>30</v>
      </c>
      <c r="K18" s="339">
        <v>38</v>
      </c>
      <c r="L18" s="339">
        <v>43</v>
      </c>
    </row>
    <row r="19" spans="3:12" x14ac:dyDescent="0.2">
      <c r="D19" s="325" t="s">
        <v>25</v>
      </c>
      <c r="E19" s="342">
        <v>6</v>
      </c>
      <c r="F19" s="338">
        <v>8</v>
      </c>
      <c r="G19" s="339">
        <v>13</v>
      </c>
      <c r="H19" s="339">
        <v>13</v>
      </c>
      <c r="I19" s="339">
        <v>14</v>
      </c>
      <c r="J19" s="339">
        <v>12</v>
      </c>
      <c r="K19" s="339">
        <v>20</v>
      </c>
      <c r="L19" s="339">
        <v>23</v>
      </c>
    </row>
    <row r="20" spans="3:12" x14ac:dyDescent="0.2">
      <c r="E20" s="342"/>
      <c r="F20" s="338"/>
      <c r="G20" s="339"/>
      <c r="H20" s="339"/>
      <c r="I20" s="339"/>
      <c r="J20" s="339"/>
      <c r="K20" s="339"/>
      <c r="L20" s="339"/>
    </row>
    <row r="21" spans="3:12" ht="15" x14ac:dyDescent="0.25">
      <c r="C21" s="331" t="s">
        <v>86</v>
      </c>
      <c r="E21" s="341">
        <v>66</v>
      </c>
      <c r="F21" s="337">
        <v>69</v>
      </c>
      <c r="G21" s="337">
        <v>63</v>
      </c>
      <c r="H21" s="340">
        <v>65</v>
      </c>
      <c r="I21" s="340">
        <v>56</v>
      </c>
      <c r="J21" s="340">
        <v>58</v>
      </c>
      <c r="K21" s="340">
        <v>66</v>
      </c>
      <c r="L21" s="340">
        <v>81</v>
      </c>
    </row>
    <row r="22" spans="3:12" x14ac:dyDescent="0.2">
      <c r="D22" s="325" t="s">
        <v>26</v>
      </c>
      <c r="E22" s="342">
        <v>64</v>
      </c>
      <c r="F22" s="338">
        <v>66</v>
      </c>
      <c r="G22" s="339">
        <v>59</v>
      </c>
      <c r="H22" s="339">
        <v>59</v>
      </c>
      <c r="I22" s="339">
        <v>50</v>
      </c>
      <c r="J22" s="339">
        <v>53</v>
      </c>
      <c r="K22" s="339">
        <v>60</v>
      </c>
      <c r="L22" s="339">
        <v>75</v>
      </c>
    </row>
    <row r="23" spans="3:12" x14ac:dyDescent="0.2">
      <c r="D23" s="325" t="s">
        <v>25</v>
      </c>
      <c r="E23" s="342">
        <v>2</v>
      </c>
      <c r="F23" s="338">
        <v>3</v>
      </c>
      <c r="G23" s="339">
        <v>4</v>
      </c>
      <c r="H23" s="339">
        <v>6</v>
      </c>
      <c r="I23" s="339">
        <v>6</v>
      </c>
      <c r="J23" s="339">
        <v>5</v>
      </c>
      <c r="K23" s="339">
        <v>6</v>
      </c>
      <c r="L23" s="339">
        <v>6</v>
      </c>
    </row>
    <row r="24" spans="3:12" x14ac:dyDescent="0.2">
      <c r="G24" s="339"/>
      <c r="H24" s="339"/>
      <c r="I24" s="339"/>
      <c r="J24" s="339"/>
      <c r="K24" s="339"/>
      <c r="L24" s="339"/>
    </row>
    <row r="25" spans="3:12" ht="15" x14ac:dyDescent="0.25">
      <c r="C25" s="331" t="s">
        <v>87</v>
      </c>
      <c r="E25" s="347">
        <v>191</v>
      </c>
      <c r="F25" s="337">
        <v>215</v>
      </c>
      <c r="G25" s="337">
        <v>220</v>
      </c>
      <c r="H25" s="340">
        <v>215</v>
      </c>
      <c r="I25" s="340">
        <v>201</v>
      </c>
      <c r="J25" s="340">
        <v>191</v>
      </c>
      <c r="K25" s="340">
        <v>246</v>
      </c>
      <c r="L25" s="340">
        <v>275</v>
      </c>
    </row>
    <row r="26" spans="3:12" x14ac:dyDescent="0.2">
      <c r="D26" s="325" t="s">
        <v>26</v>
      </c>
      <c r="E26" s="338">
        <v>126</v>
      </c>
      <c r="F26" s="338">
        <v>140</v>
      </c>
      <c r="G26" s="339">
        <v>136</v>
      </c>
      <c r="H26" s="339">
        <v>134</v>
      </c>
      <c r="I26" s="339">
        <v>122</v>
      </c>
      <c r="J26" s="339">
        <v>110</v>
      </c>
      <c r="K26" s="339">
        <v>147</v>
      </c>
      <c r="L26" s="339">
        <v>166</v>
      </c>
    </row>
    <row r="27" spans="3:12" x14ac:dyDescent="0.2">
      <c r="D27" s="325" t="s">
        <v>25</v>
      </c>
      <c r="E27" s="338">
        <v>65</v>
      </c>
      <c r="F27" s="338">
        <v>75</v>
      </c>
      <c r="G27" s="339">
        <v>84</v>
      </c>
      <c r="H27" s="339">
        <v>81</v>
      </c>
      <c r="I27" s="339">
        <v>79</v>
      </c>
      <c r="J27" s="339">
        <v>81</v>
      </c>
      <c r="K27" s="339">
        <v>99</v>
      </c>
      <c r="L27" s="339">
        <v>109</v>
      </c>
    </row>
    <row r="28" spans="3:12" x14ac:dyDescent="0.2">
      <c r="E28" s="338"/>
      <c r="F28" s="338"/>
      <c r="G28" s="339"/>
      <c r="H28" s="339"/>
      <c r="I28" s="339"/>
      <c r="J28" s="339"/>
      <c r="K28" s="339"/>
      <c r="L28" s="339"/>
    </row>
    <row r="29" spans="3:12" ht="15" x14ac:dyDescent="0.25">
      <c r="C29" s="331" t="s">
        <v>88</v>
      </c>
      <c r="E29" s="337">
        <v>28</v>
      </c>
      <c r="F29" s="337">
        <v>38</v>
      </c>
      <c r="G29" s="337">
        <v>35</v>
      </c>
      <c r="H29" s="340">
        <v>25</v>
      </c>
      <c r="I29" s="340">
        <v>23</v>
      </c>
      <c r="J29" s="340">
        <v>23</v>
      </c>
      <c r="K29" s="340">
        <v>42</v>
      </c>
      <c r="L29" s="340">
        <v>47</v>
      </c>
    </row>
    <row r="30" spans="3:12" x14ac:dyDescent="0.2">
      <c r="D30" s="325" t="s">
        <v>26</v>
      </c>
      <c r="E30" s="338">
        <v>21</v>
      </c>
      <c r="F30" s="338">
        <v>30</v>
      </c>
      <c r="G30" s="339">
        <v>28</v>
      </c>
      <c r="H30" s="339">
        <v>21</v>
      </c>
      <c r="I30" s="339">
        <v>16</v>
      </c>
      <c r="J30" s="339">
        <v>20</v>
      </c>
      <c r="K30" s="339">
        <v>36</v>
      </c>
      <c r="L30" s="339">
        <v>36</v>
      </c>
    </row>
    <row r="31" spans="3:12" x14ac:dyDescent="0.2">
      <c r="D31" s="325" t="s">
        <v>25</v>
      </c>
      <c r="E31" s="326">
        <v>7</v>
      </c>
      <c r="F31" s="326">
        <v>8</v>
      </c>
      <c r="G31" s="339">
        <v>7</v>
      </c>
      <c r="H31" s="339">
        <v>4</v>
      </c>
      <c r="I31" s="339">
        <v>7</v>
      </c>
      <c r="J31" s="339">
        <v>3</v>
      </c>
      <c r="K31" s="339">
        <v>6</v>
      </c>
      <c r="L31" s="339">
        <v>11</v>
      </c>
    </row>
    <row r="32" spans="3:12" x14ac:dyDescent="0.2">
      <c r="E32" s="339"/>
      <c r="F32" s="339"/>
      <c r="G32" s="339"/>
      <c r="H32" s="339"/>
      <c r="I32" s="339"/>
      <c r="J32" s="339"/>
      <c r="K32" s="339"/>
      <c r="L32" s="339"/>
    </row>
    <row r="33" spans="2:12" ht="15" x14ac:dyDescent="0.25">
      <c r="C33" s="331" t="s">
        <v>89</v>
      </c>
      <c r="E33" s="340">
        <v>132</v>
      </c>
      <c r="F33" s="340">
        <v>145</v>
      </c>
      <c r="G33" s="337">
        <v>134</v>
      </c>
      <c r="H33" s="340">
        <v>113</v>
      </c>
      <c r="I33" s="340">
        <v>103</v>
      </c>
      <c r="J33" s="340">
        <v>109</v>
      </c>
      <c r="K33" s="340">
        <v>165</v>
      </c>
      <c r="L33" s="340">
        <v>213</v>
      </c>
    </row>
    <row r="34" spans="2:12" x14ac:dyDescent="0.2">
      <c r="D34" s="325" t="s">
        <v>26</v>
      </c>
      <c r="E34" s="339">
        <v>70</v>
      </c>
      <c r="F34" s="339">
        <v>63</v>
      </c>
      <c r="G34" s="339">
        <v>62</v>
      </c>
      <c r="H34" s="339">
        <v>48</v>
      </c>
      <c r="I34" s="339">
        <v>43</v>
      </c>
      <c r="J34" s="339">
        <v>42</v>
      </c>
      <c r="K34" s="339">
        <v>56</v>
      </c>
      <c r="L34" s="339">
        <v>84</v>
      </c>
    </row>
    <row r="35" spans="2:12" x14ac:dyDescent="0.2">
      <c r="D35" s="325" t="s">
        <v>25</v>
      </c>
      <c r="E35" s="339">
        <v>62</v>
      </c>
      <c r="F35" s="339">
        <v>82</v>
      </c>
      <c r="G35" s="339">
        <v>72</v>
      </c>
      <c r="H35" s="339">
        <v>65</v>
      </c>
      <c r="I35" s="339">
        <v>60</v>
      </c>
      <c r="J35" s="339">
        <v>67</v>
      </c>
      <c r="K35" s="339">
        <v>109</v>
      </c>
      <c r="L35" s="339">
        <v>129</v>
      </c>
    </row>
    <row r="36" spans="2:12" x14ac:dyDescent="0.2">
      <c r="E36" s="339"/>
      <c r="F36" s="339"/>
      <c r="G36" s="339"/>
      <c r="H36" s="339"/>
      <c r="I36" s="339"/>
      <c r="J36" s="339"/>
      <c r="K36" s="339"/>
      <c r="L36" s="339"/>
    </row>
    <row r="37" spans="2:12" ht="15" x14ac:dyDescent="0.25">
      <c r="C37" s="331" t="s">
        <v>90</v>
      </c>
      <c r="E37" s="340">
        <v>35</v>
      </c>
      <c r="F37" s="340">
        <v>75</v>
      </c>
      <c r="G37" s="337">
        <v>98</v>
      </c>
      <c r="H37" s="340">
        <v>109</v>
      </c>
      <c r="I37" s="340">
        <v>118</v>
      </c>
      <c r="J37" s="340">
        <v>116</v>
      </c>
      <c r="K37" s="340">
        <v>147</v>
      </c>
      <c r="L37" s="340">
        <v>144</v>
      </c>
    </row>
    <row r="38" spans="2:12" x14ac:dyDescent="0.2">
      <c r="D38" s="325" t="s">
        <v>26</v>
      </c>
      <c r="E38" s="339">
        <v>31</v>
      </c>
      <c r="F38" s="339">
        <v>61</v>
      </c>
      <c r="G38" s="339">
        <v>79</v>
      </c>
      <c r="H38" s="339">
        <v>84</v>
      </c>
      <c r="I38" s="339">
        <v>85</v>
      </c>
      <c r="J38" s="339">
        <v>80</v>
      </c>
      <c r="K38" s="339">
        <v>107</v>
      </c>
      <c r="L38" s="339">
        <v>112</v>
      </c>
    </row>
    <row r="39" spans="2:12" x14ac:dyDescent="0.2">
      <c r="D39" s="325" t="s">
        <v>25</v>
      </c>
      <c r="E39" s="339">
        <v>4</v>
      </c>
      <c r="F39" s="339">
        <v>14</v>
      </c>
      <c r="G39" s="339">
        <v>19</v>
      </c>
      <c r="H39" s="339">
        <v>25</v>
      </c>
      <c r="I39" s="339">
        <v>33</v>
      </c>
      <c r="J39" s="339">
        <v>36</v>
      </c>
      <c r="K39" s="339">
        <v>40</v>
      </c>
      <c r="L39" s="339">
        <v>32</v>
      </c>
    </row>
    <row r="40" spans="2:12" x14ac:dyDescent="0.2">
      <c r="E40" s="339"/>
      <c r="F40" s="339"/>
      <c r="G40" s="339"/>
      <c r="H40" s="339"/>
      <c r="I40" s="339"/>
      <c r="J40" s="339"/>
      <c r="K40" s="339"/>
      <c r="L40" s="339"/>
    </row>
    <row r="41" spans="2:12" ht="15" x14ac:dyDescent="0.25">
      <c r="C41" s="331" t="s">
        <v>92</v>
      </c>
      <c r="E41" s="340">
        <v>180</v>
      </c>
      <c r="F41" s="340">
        <v>194</v>
      </c>
      <c r="G41" s="337">
        <v>222</v>
      </c>
      <c r="H41" s="340">
        <v>170</v>
      </c>
      <c r="I41" s="340">
        <v>187</v>
      </c>
      <c r="J41" s="340">
        <v>234</v>
      </c>
      <c r="K41" s="340">
        <v>333</v>
      </c>
      <c r="L41" s="340">
        <v>303</v>
      </c>
    </row>
    <row r="42" spans="2:12" x14ac:dyDescent="0.2">
      <c r="D42" s="325" t="s">
        <v>26</v>
      </c>
      <c r="E42" s="339">
        <v>132</v>
      </c>
      <c r="F42" s="339">
        <v>121</v>
      </c>
      <c r="G42" s="339">
        <v>145</v>
      </c>
      <c r="H42" s="339">
        <v>118</v>
      </c>
      <c r="I42" s="339">
        <v>115</v>
      </c>
      <c r="J42" s="339">
        <v>141</v>
      </c>
      <c r="K42" s="339">
        <v>207</v>
      </c>
      <c r="L42" s="339">
        <v>203</v>
      </c>
    </row>
    <row r="43" spans="2:12" x14ac:dyDescent="0.2">
      <c r="D43" s="325" t="s">
        <v>25</v>
      </c>
      <c r="E43" s="339">
        <v>48</v>
      </c>
      <c r="F43" s="339">
        <v>73</v>
      </c>
      <c r="G43" s="339">
        <v>77</v>
      </c>
      <c r="H43" s="339">
        <v>52</v>
      </c>
      <c r="I43" s="339">
        <v>72</v>
      </c>
      <c r="J43" s="339">
        <v>93</v>
      </c>
      <c r="K43" s="339">
        <v>126</v>
      </c>
      <c r="L43" s="339">
        <v>100</v>
      </c>
    </row>
    <row r="44" spans="2:12" x14ac:dyDescent="0.2">
      <c r="B44" s="330"/>
      <c r="C44" s="332"/>
      <c r="D44" s="332"/>
      <c r="E44" s="332"/>
      <c r="F44" s="343"/>
      <c r="G44" s="343"/>
      <c r="H44" s="343"/>
      <c r="I44" s="343"/>
      <c r="J44" s="343"/>
      <c r="K44" s="343"/>
      <c r="L44" s="343"/>
    </row>
    <row r="45" spans="2:12" x14ac:dyDescent="0.2">
      <c r="B45" s="330"/>
      <c r="C45" s="330"/>
      <c r="D45" s="330"/>
    </row>
    <row r="46" spans="2:12" ht="15" x14ac:dyDescent="0.25">
      <c r="B46" s="330"/>
      <c r="C46" s="327" t="s">
        <v>345</v>
      </c>
    </row>
    <row r="48" spans="2:12" x14ac:dyDescent="0.2">
      <c r="C48" s="333"/>
    </row>
    <row r="49" spans="2:14" x14ac:dyDescent="0.2">
      <c r="C49" s="333"/>
    </row>
    <row r="50" spans="2:14" x14ac:dyDescent="0.2">
      <c r="C50" s="333"/>
    </row>
    <row r="51" spans="2:14" x14ac:dyDescent="0.2">
      <c r="C51" s="333"/>
    </row>
    <row r="52" spans="2:14" x14ac:dyDescent="0.2">
      <c r="C52" s="333"/>
    </row>
    <row r="53" spans="2:14" x14ac:dyDescent="0.2">
      <c r="C53" s="333"/>
    </row>
    <row r="54" spans="2:14" x14ac:dyDescent="0.2">
      <c r="C54" s="333"/>
    </row>
    <row r="55" spans="2:14" x14ac:dyDescent="0.2">
      <c r="C55" s="333"/>
    </row>
    <row r="56" spans="2:14" x14ac:dyDescent="0.2">
      <c r="B56" s="330"/>
    </row>
    <row r="57" spans="2:14" x14ac:dyDescent="0.2">
      <c r="C57" s="344"/>
      <c r="D57" s="344"/>
    </row>
    <row r="62" spans="2:14" x14ac:dyDescent="0.2">
      <c r="E62" s="345"/>
      <c r="F62" s="345"/>
      <c r="G62" s="345"/>
      <c r="H62" s="345"/>
      <c r="I62" s="345"/>
      <c r="J62" s="345"/>
      <c r="K62" s="345"/>
      <c r="L62" s="345"/>
      <c r="M62" s="345"/>
      <c r="N62" s="345"/>
    </row>
    <row r="64" spans="2:14" x14ac:dyDescent="0.2">
      <c r="B64" s="346"/>
      <c r="C64" s="346"/>
      <c r="D64" s="346"/>
    </row>
    <row r="65" spans="2:4" ht="9" customHeight="1" x14ac:dyDescent="0.2"/>
    <row r="66" spans="2:4" x14ac:dyDescent="0.2">
      <c r="B66" s="346"/>
      <c r="C66" s="346"/>
      <c r="D66" s="346"/>
    </row>
  </sheetData>
  <mergeCells count="2">
    <mergeCell ref="C8:K8"/>
    <mergeCell ref="G2:K2"/>
  </mergeCells>
  <phoneticPr fontId="0" type="noConversion"/>
  <printOptions horizontalCentered="1"/>
  <pageMargins left="1" right="1" top="1" bottom="0.99" header="0.5" footer="0.5"/>
  <pageSetup scale="7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42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247650</xdr:colOff>
                <xdr:row>2</xdr:row>
                <xdr:rowOff>66675</xdr:rowOff>
              </to>
            </anchor>
          </objectPr>
        </oleObject>
      </mc:Choice>
      <mc:Fallback>
        <oleObject progId="MSPhotoEd.3" shapeId="10242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C4:V68"/>
  <sheetViews>
    <sheetView view="pageBreakPreview" zoomScaleNormal="100" zoomScaleSheetLayoutView="100" workbookViewId="0">
      <selection activeCell="K36" sqref="K36"/>
    </sheetView>
  </sheetViews>
  <sheetFormatPr defaultColWidth="9.140625" defaultRowHeight="12.75" x14ac:dyDescent="0.2"/>
  <cols>
    <col min="1" max="2" width="9.140625" style="101"/>
    <col min="3" max="3" width="7.42578125" style="101" customWidth="1"/>
    <col min="4" max="4" width="19.42578125" style="101" customWidth="1"/>
    <col min="5" max="5" width="9.140625" style="101"/>
    <col min="6" max="6" width="0" style="101" hidden="1" customWidth="1"/>
    <col min="7" max="7" width="11" style="101" hidden="1" customWidth="1"/>
    <col min="8" max="8" width="7.85546875" style="101" customWidth="1"/>
    <col min="9" max="9" width="8.85546875" style="101" customWidth="1"/>
    <col min="10" max="10" width="11.140625" style="101" customWidth="1"/>
    <col min="11" max="11" width="7.42578125" style="101" customWidth="1"/>
    <col min="12" max="12" width="9.42578125" style="101" customWidth="1"/>
    <col min="13" max="13" width="11.28515625" style="101" customWidth="1"/>
    <col min="14" max="14" width="6.42578125" style="101" customWidth="1"/>
    <col min="15" max="15" width="11.42578125" style="101" customWidth="1"/>
    <col min="16" max="16" width="12.140625" style="101" customWidth="1"/>
    <col min="17" max="17" width="9.140625" style="101"/>
    <col min="18" max="18" width="4.85546875" style="101" customWidth="1"/>
    <col min="19" max="19" width="10.85546875" style="101" customWidth="1"/>
    <col min="20" max="20" width="13.5703125" style="101" customWidth="1"/>
    <col min="21" max="21" width="9.140625" style="101"/>
    <col min="22" max="22" width="4.140625" style="101" customWidth="1"/>
    <col min="23" max="16384" width="9.140625" style="101"/>
  </cols>
  <sheetData>
    <row r="4" spans="3:22" ht="15" x14ac:dyDescent="0.25">
      <c r="E4" s="102"/>
      <c r="F4" s="102"/>
      <c r="G4" s="102"/>
      <c r="H4" s="102"/>
      <c r="I4" s="102"/>
      <c r="J4" s="102"/>
      <c r="K4" s="102"/>
      <c r="L4" s="102"/>
      <c r="M4" s="103" t="s">
        <v>289</v>
      </c>
      <c r="N4" s="103"/>
    </row>
    <row r="5" spans="3:22" ht="9" customHeight="1" x14ac:dyDescent="0.2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7" spans="3:22" x14ac:dyDescent="0.2">
      <c r="D7" s="116"/>
      <c r="E7" s="115"/>
      <c r="F7" s="115"/>
      <c r="G7" s="115"/>
      <c r="H7" s="115"/>
      <c r="I7" s="115"/>
      <c r="J7" s="115"/>
      <c r="K7" s="115"/>
      <c r="L7" s="115"/>
      <c r="M7" s="149"/>
      <c r="N7" s="149"/>
    </row>
    <row r="8" spans="3:22" x14ac:dyDescent="0.2">
      <c r="D8" s="116"/>
      <c r="E8" s="115"/>
      <c r="F8" s="115"/>
      <c r="G8" s="115"/>
      <c r="H8" s="115"/>
      <c r="I8" s="115"/>
      <c r="J8" s="115"/>
      <c r="K8" s="115"/>
      <c r="L8" s="115"/>
      <c r="M8" s="149"/>
      <c r="N8" s="149"/>
    </row>
    <row r="9" spans="3:22" ht="15.75" x14ac:dyDescent="0.25">
      <c r="C9" s="282" t="s">
        <v>285</v>
      </c>
      <c r="D9" s="620" t="s">
        <v>290</v>
      </c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</row>
    <row r="10" spans="3:22" x14ac:dyDescent="0.2">
      <c r="C10" s="283"/>
      <c r="D10" s="284"/>
      <c r="E10" s="280"/>
      <c r="F10" s="280"/>
      <c r="G10" s="280"/>
      <c r="H10" s="280"/>
      <c r="I10" s="280"/>
      <c r="J10" s="280"/>
      <c r="K10" s="280"/>
      <c r="L10" s="280"/>
      <c r="M10" s="280"/>
      <c r="N10" s="281"/>
      <c r="O10" s="283"/>
      <c r="P10" s="283"/>
      <c r="Q10" s="283"/>
      <c r="R10" s="283"/>
    </row>
    <row r="11" spans="3:22" ht="17.25" customHeight="1" x14ac:dyDescent="0.2">
      <c r="C11" s="283"/>
      <c r="D11" s="285"/>
      <c r="E11" s="286"/>
      <c r="F11" s="287">
        <v>2009</v>
      </c>
      <c r="G11" s="288"/>
      <c r="H11" s="289"/>
      <c r="I11" s="615">
        <v>2010</v>
      </c>
      <c r="J11" s="615"/>
      <c r="K11" s="289"/>
      <c r="L11" s="287" t="s">
        <v>179</v>
      </c>
      <c r="M11" s="288"/>
      <c r="N11" s="288"/>
      <c r="O11" s="615">
        <v>2012</v>
      </c>
      <c r="P11" s="615"/>
      <c r="Q11" s="615"/>
      <c r="R11" s="615"/>
      <c r="S11" s="615">
        <v>2013</v>
      </c>
      <c r="T11" s="615"/>
      <c r="U11" s="615"/>
      <c r="V11" s="615"/>
    </row>
    <row r="12" spans="3:22" ht="18" customHeight="1" x14ac:dyDescent="0.2">
      <c r="C12" s="283"/>
      <c r="D12" s="290" t="s">
        <v>159</v>
      </c>
      <c r="E12" s="291"/>
      <c r="F12" s="292" t="s">
        <v>160</v>
      </c>
      <c r="G12" s="292" t="s">
        <v>161</v>
      </c>
      <c r="H12" s="280"/>
      <c r="I12" s="292" t="s">
        <v>160</v>
      </c>
      <c r="J12" s="292" t="s">
        <v>161</v>
      </c>
      <c r="K12" s="292"/>
      <c r="L12" s="292" t="s">
        <v>160</v>
      </c>
      <c r="M12" s="292" t="s">
        <v>161</v>
      </c>
      <c r="N12" s="292"/>
      <c r="O12" s="292" t="s">
        <v>160</v>
      </c>
      <c r="P12" s="292" t="s">
        <v>161</v>
      </c>
      <c r="Q12" s="616" t="s">
        <v>248</v>
      </c>
      <c r="R12" s="616"/>
      <c r="S12" s="292" t="s">
        <v>160</v>
      </c>
      <c r="T12" s="292" t="s">
        <v>161</v>
      </c>
      <c r="U12" s="616" t="s">
        <v>248</v>
      </c>
      <c r="V12" s="616"/>
    </row>
    <row r="13" spans="3:22" ht="12" customHeight="1" x14ac:dyDescent="0.2">
      <c r="C13" s="283"/>
      <c r="D13" s="293"/>
      <c r="E13" s="283"/>
      <c r="F13" s="294"/>
      <c r="G13" s="294"/>
      <c r="H13" s="159"/>
      <c r="I13" s="294"/>
      <c r="J13" s="294"/>
      <c r="K13" s="294"/>
      <c r="L13" s="294"/>
      <c r="M13" s="294"/>
      <c r="N13" s="294"/>
      <c r="O13" s="294"/>
      <c r="P13" s="294"/>
      <c r="Q13" s="617"/>
      <c r="R13" s="617"/>
      <c r="S13" s="294"/>
      <c r="T13" s="294"/>
      <c r="U13" s="617"/>
      <c r="V13" s="617"/>
    </row>
    <row r="14" spans="3:22" ht="13.5" customHeight="1" x14ac:dyDescent="0.2">
      <c r="C14" s="283"/>
      <c r="D14" s="295" t="s">
        <v>24</v>
      </c>
      <c r="E14" s="296"/>
      <c r="F14" s="278">
        <f>SUM(F16+F18+F20+F22+F24+F26)</f>
        <v>35549</v>
      </c>
      <c r="G14" s="278">
        <f>SUM(G16+G18+G20+G22+G24+G26)</f>
        <v>36108</v>
      </c>
      <c r="H14" s="281"/>
      <c r="I14" s="278">
        <f>SUM(I16+I18+I20+I22+I24+I26)</f>
        <v>41080</v>
      </c>
      <c r="J14" s="278">
        <f>SUM(J16+J18+J20+J22+J24+J26)</f>
        <v>39671</v>
      </c>
      <c r="K14" s="278"/>
      <c r="L14" s="278">
        <f>SUM(L16+L18+L20+L22+L24+L26)</f>
        <v>8161</v>
      </c>
      <c r="M14" s="278">
        <f>SUM(M16+M18+M20+M22+M24+M26)</f>
        <v>7269</v>
      </c>
      <c r="N14" s="278"/>
      <c r="O14" s="278">
        <v>27259</v>
      </c>
      <c r="P14" s="278">
        <v>34378</v>
      </c>
      <c r="Q14" s="618">
        <v>26583</v>
      </c>
      <c r="R14" s="618"/>
      <c r="S14" s="278"/>
      <c r="T14" s="278"/>
      <c r="U14" s="618"/>
      <c r="V14" s="618"/>
    </row>
    <row r="15" spans="3:22" ht="12" customHeight="1" x14ac:dyDescent="0.2">
      <c r="C15" s="283"/>
      <c r="D15" s="293"/>
      <c r="E15" s="296"/>
      <c r="F15" s="294"/>
      <c r="G15" s="294"/>
      <c r="H15" s="281"/>
      <c r="I15" s="294"/>
      <c r="J15" s="294"/>
      <c r="K15" s="294"/>
      <c r="L15" s="294"/>
      <c r="M15" s="294"/>
      <c r="N15" s="294"/>
      <c r="O15" s="294"/>
      <c r="P15" s="294"/>
      <c r="Q15" s="619"/>
      <c r="R15" s="619"/>
      <c r="S15" s="294"/>
      <c r="T15" s="294"/>
      <c r="U15" s="619"/>
      <c r="V15" s="619"/>
    </row>
    <row r="16" spans="3:22" ht="12" customHeight="1" x14ac:dyDescent="0.2">
      <c r="C16" s="283"/>
      <c r="D16" s="285" t="s">
        <v>154</v>
      </c>
      <c r="E16" s="283"/>
      <c r="F16" s="281">
        <v>14480</v>
      </c>
      <c r="G16" s="281">
        <v>14709</v>
      </c>
      <c r="H16" s="159"/>
      <c r="I16" s="281">
        <v>23852</v>
      </c>
      <c r="J16" s="281">
        <v>22277</v>
      </c>
      <c r="K16" s="281"/>
      <c r="L16" s="281">
        <v>7465</v>
      </c>
      <c r="M16" s="281">
        <v>5907</v>
      </c>
      <c r="N16" s="281"/>
      <c r="O16" s="281">
        <v>14614</v>
      </c>
      <c r="P16" s="281">
        <v>19168</v>
      </c>
      <c r="Q16" s="613">
        <v>8184</v>
      </c>
      <c r="R16" s="613"/>
      <c r="S16" s="281"/>
      <c r="T16" s="281"/>
      <c r="U16" s="613"/>
      <c r="V16" s="613"/>
    </row>
    <row r="17" spans="3:22" ht="13.5" customHeight="1" x14ac:dyDescent="0.2">
      <c r="C17" s="283"/>
      <c r="D17" s="285"/>
      <c r="E17" s="283"/>
      <c r="F17" s="281"/>
      <c r="G17" s="281"/>
      <c r="H17" s="159"/>
      <c r="I17" s="281"/>
      <c r="J17" s="281"/>
      <c r="K17" s="281"/>
      <c r="L17" s="281"/>
      <c r="M17" s="281"/>
      <c r="N17" s="281"/>
      <c r="O17" s="281"/>
      <c r="P17" s="281"/>
      <c r="Q17" s="613"/>
      <c r="R17" s="613"/>
      <c r="S17" s="281"/>
      <c r="T17" s="281"/>
      <c r="U17" s="613"/>
      <c r="V17" s="613"/>
    </row>
    <row r="18" spans="3:22" ht="13.5" customHeight="1" x14ac:dyDescent="0.2">
      <c r="C18" s="283"/>
      <c r="D18" s="285" t="s">
        <v>155</v>
      </c>
      <c r="E18" s="283"/>
      <c r="F18" s="281">
        <v>10046</v>
      </c>
      <c r="G18" s="281">
        <v>9665</v>
      </c>
      <c r="H18" s="159"/>
      <c r="I18" s="281">
        <v>7425</v>
      </c>
      <c r="J18" s="281">
        <v>7413</v>
      </c>
      <c r="K18" s="281"/>
      <c r="L18" s="281">
        <v>281</v>
      </c>
      <c r="M18" s="281">
        <v>830</v>
      </c>
      <c r="N18" s="281"/>
      <c r="O18" s="281">
        <v>5805</v>
      </c>
      <c r="P18" s="281">
        <v>6958</v>
      </c>
      <c r="Q18" s="613">
        <v>13499</v>
      </c>
      <c r="R18" s="613"/>
      <c r="S18" s="281"/>
      <c r="T18" s="281"/>
      <c r="U18" s="613"/>
      <c r="V18" s="613"/>
    </row>
    <row r="19" spans="3:22" ht="13.5" customHeight="1" x14ac:dyDescent="0.2">
      <c r="C19" s="283"/>
      <c r="D19" s="285"/>
      <c r="E19" s="283"/>
      <c r="F19" s="281"/>
      <c r="G19" s="281"/>
      <c r="H19" s="159"/>
      <c r="I19" s="281"/>
      <c r="J19" s="281"/>
      <c r="K19" s="281"/>
      <c r="L19" s="281"/>
      <c r="M19" s="281"/>
      <c r="N19" s="281"/>
      <c r="O19" s="281"/>
      <c r="P19" s="281"/>
      <c r="Q19" s="613"/>
      <c r="R19" s="613"/>
      <c r="S19" s="281"/>
      <c r="T19" s="281"/>
      <c r="U19" s="613"/>
      <c r="V19" s="613"/>
    </row>
    <row r="20" spans="3:22" ht="13.5" customHeight="1" x14ac:dyDescent="0.2">
      <c r="C20" s="283"/>
      <c r="D20" s="285" t="s">
        <v>156</v>
      </c>
      <c r="E20" s="283"/>
      <c r="F20" s="281">
        <v>3805</v>
      </c>
      <c r="G20" s="281">
        <v>3757</v>
      </c>
      <c r="H20" s="159"/>
      <c r="I20" s="281">
        <v>947</v>
      </c>
      <c r="J20" s="281">
        <v>959</v>
      </c>
      <c r="K20" s="281"/>
      <c r="L20" s="281">
        <v>110</v>
      </c>
      <c r="M20" s="281">
        <v>210</v>
      </c>
      <c r="N20" s="281"/>
      <c r="O20" s="281">
        <v>2039</v>
      </c>
      <c r="P20" s="281">
        <v>2577</v>
      </c>
      <c r="Q20" s="613">
        <v>1910</v>
      </c>
      <c r="R20" s="613"/>
      <c r="S20" s="281"/>
      <c r="T20" s="281"/>
      <c r="U20" s="613"/>
      <c r="V20" s="613"/>
    </row>
    <row r="21" spans="3:22" ht="13.5" customHeight="1" x14ac:dyDescent="0.2">
      <c r="C21" s="283"/>
      <c r="D21" s="285"/>
      <c r="E21" s="283"/>
      <c r="F21" s="278"/>
      <c r="G21" s="278"/>
      <c r="H21" s="159"/>
      <c r="I21" s="278"/>
      <c r="J21" s="278"/>
      <c r="K21" s="278"/>
      <c r="L21" s="278"/>
      <c r="M21" s="278"/>
      <c r="N21" s="278"/>
      <c r="O21" s="278"/>
      <c r="P21" s="278"/>
      <c r="Q21" s="613"/>
      <c r="R21" s="613"/>
      <c r="S21" s="278"/>
      <c r="T21" s="278"/>
      <c r="U21" s="613"/>
      <c r="V21" s="613"/>
    </row>
    <row r="22" spans="3:22" ht="13.5" customHeight="1" x14ac:dyDescent="0.2">
      <c r="C22" s="283"/>
      <c r="D22" s="285" t="s">
        <v>157</v>
      </c>
      <c r="E22" s="283"/>
      <c r="F22" s="281">
        <v>1682</v>
      </c>
      <c r="G22" s="281">
        <v>2149</v>
      </c>
      <c r="H22" s="159"/>
      <c r="I22" s="281">
        <v>2088</v>
      </c>
      <c r="J22" s="281">
        <v>2126</v>
      </c>
      <c r="K22" s="281"/>
      <c r="L22" s="281">
        <v>18</v>
      </c>
      <c r="M22" s="281">
        <v>75</v>
      </c>
      <c r="N22" s="281"/>
      <c r="O22" s="281">
        <v>1062</v>
      </c>
      <c r="P22" s="281">
        <v>1225</v>
      </c>
      <c r="Q22" s="613">
        <v>188</v>
      </c>
      <c r="R22" s="613"/>
      <c r="S22" s="281"/>
      <c r="T22" s="281"/>
      <c r="U22" s="613"/>
      <c r="V22" s="613"/>
    </row>
    <row r="23" spans="3:22" ht="13.5" customHeight="1" x14ac:dyDescent="0.2">
      <c r="C23" s="283"/>
      <c r="D23" s="285"/>
      <c r="E23" s="283"/>
      <c r="F23" s="281"/>
      <c r="G23" s="281"/>
      <c r="H23" s="159"/>
      <c r="I23" s="281"/>
      <c r="J23" s="281"/>
      <c r="K23" s="281"/>
      <c r="L23" s="281"/>
      <c r="M23" s="281"/>
      <c r="N23" s="281"/>
      <c r="O23" s="281"/>
      <c r="P23" s="281"/>
      <c r="Q23" s="613"/>
      <c r="R23" s="613"/>
      <c r="S23" s="281"/>
      <c r="T23" s="281"/>
      <c r="U23" s="613"/>
      <c r="V23" s="613"/>
    </row>
    <row r="24" spans="3:22" ht="13.5" customHeight="1" x14ac:dyDescent="0.2">
      <c r="C24" s="283"/>
      <c r="D24" s="285" t="s">
        <v>158</v>
      </c>
      <c r="E24" s="283"/>
      <c r="F24" s="281">
        <v>604</v>
      </c>
      <c r="G24" s="281">
        <v>713</v>
      </c>
      <c r="H24" s="159"/>
      <c r="I24" s="281">
        <v>1890</v>
      </c>
      <c r="J24" s="281">
        <v>1899</v>
      </c>
      <c r="K24" s="281"/>
      <c r="L24" s="281">
        <v>59</v>
      </c>
      <c r="M24" s="281">
        <v>105</v>
      </c>
      <c r="N24" s="281"/>
      <c r="O24" s="281">
        <v>913</v>
      </c>
      <c r="P24" s="281">
        <v>1065</v>
      </c>
      <c r="Q24" s="613">
        <v>1201</v>
      </c>
      <c r="R24" s="613"/>
      <c r="S24" s="281"/>
      <c r="T24" s="281"/>
      <c r="U24" s="613"/>
      <c r="V24" s="613"/>
    </row>
    <row r="25" spans="3:22" ht="13.5" customHeight="1" x14ac:dyDescent="0.2">
      <c r="C25" s="283"/>
      <c r="D25" s="285"/>
      <c r="E25" s="283"/>
      <c r="F25" s="281"/>
      <c r="G25" s="281"/>
      <c r="H25" s="159"/>
      <c r="I25" s="281"/>
      <c r="J25" s="281"/>
      <c r="K25" s="281"/>
      <c r="L25" s="281"/>
      <c r="M25" s="281"/>
      <c r="N25" s="281"/>
      <c r="O25" s="281"/>
      <c r="P25" s="281"/>
      <c r="Q25" s="613"/>
      <c r="R25" s="613"/>
      <c r="S25" s="281"/>
      <c r="T25" s="281"/>
      <c r="U25" s="613"/>
      <c r="V25" s="613"/>
    </row>
    <row r="26" spans="3:22" ht="13.5" customHeight="1" x14ac:dyDescent="0.2">
      <c r="C26" s="283"/>
      <c r="D26" s="284" t="s">
        <v>18</v>
      </c>
      <c r="E26" s="291"/>
      <c r="F26" s="280">
        <v>4932</v>
      </c>
      <c r="G26" s="280">
        <v>5115</v>
      </c>
      <c r="H26" s="280"/>
      <c r="I26" s="280">
        <v>4878</v>
      </c>
      <c r="J26" s="280">
        <v>4997</v>
      </c>
      <c r="K26" s="280"/>
      <c r="L26" s="280">
        <v>228</v>
      </c>
      <c r="M26" s="280">
        <v>142</v>
      </c>
      <c r="N26" s="280"/>
      <c r="O26" s="280">
        <v>2826</v>
      </c>
      <c r="P26" s="280">
        <v>3385</v>
      </c>
      <c r="Q26" s="614">
        <v>1601</v>
      </c>
      <c r="R26" s="614"/>
      <c r="S26" s="318"/>
      <c r="T26" s="318"/>
      <c r="U26" s="614"/>
      <c r="V26" s="614"/>
    </row>
    <row r="27" spans="3:22" x14ac:dyDescent="0.2">
      <c r="C27" s="283"/>
      <c r="D27" s="297" t="s">
        <v>173</v>
      </c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</row>
    <row r="28" spans="3:22" ht="13.5" customHeight="1" x14ac:dyDescent="0.2">
      <c r="C28" s="283"/>
      <c r="D28" s="283" t="s">
        <v>178</v>
      </c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</row>
    <row r="29" spans="3:22" ht="13.5" customHeight="1" x14ac:dyDescent="0.2"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</row>
    <row r="30" spans="3:22" ht="13.5" customHeight="1" x14ac:dyDescent="0.2">
      <c r="C30" s="283"/>
      <c r="D30" s="158" t="s">
        <v>174</v>
      </c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</row>
    <row r="31" spans="3:22" ht="13.5" customHeight="1" x14ac:dyDescent="0.2">
      <c r="C31" s="283"/>
      <c r="D31" s="298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</row>
    <row r="32" spans="3:22" ht="13.5" customHeight="1" x14ac:dyDescent="0.2">
      <c r="C32" s="283"/>
      <c r="D32" s="299" t="s">
        <v>181</v>
      </c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</row>
    <row r="33" spans="3:18" ht="13.5" customHeight="1" x14ac:dyDescent="0.2">
      <c r="D33" s="102"/>
    </row>
    <row r="34" spans="3:18" ht="13.5" customHeight="1" x14ac:dyDescent="0.2">
      <c r="D34" s="102"/>
    </row>
    <row r="35" spans="3:18" ht="13.5" customHeight="1" x14ac:dyDescent="0.2">
      <c r="D35" s="102"/>
    </row>
    <row r="36" spans="3:18" x14ac:dyDescent="0.2"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3:18" x14ac:dyDescent="0.2"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3:18" ht="9" customHeight="1" x14ac:dyDescent="0.2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3:18" x14ac:dyDescent="0.2">
      <c r="C39" s="604">
        <v>37</v>
      </c>
      <c r="D39" s="604"/>
      <c r="E39" s="604"/>
      <c r="F39" s="604"/>
      <c r="G39" s="604"/>
      <c r="H39" s="604"/>
      <c r="I39" s="604"/>
      <c r="J39" s="604"/>
      <c r="K39" s="604"/>
      <c r="L39" s="604"/>
      <c r="M39" s="604"/>
      <c r="N39" s="18"/>
    </row>
    <row r="40" spans="3:18" x14ac:dyDescent="0.2"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3:18" x14ac:dyDescent="0.2">
      <c r="D41" s="108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3:18" x14ac:dyDescent="0.2"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3:18" x14ac:dyDescent="0.2"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3:18" x14ac:dyDescent="0.2"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3:18" x14ac:dyDescent="0.2"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3:18" x14ac:dyDescent="0.2">
      <c r="C46"/>
      <c r="D46"/>
      <c r="E46"/>
      <c r="F46"/>
      <c r="G46"/>
      <c r="H46"/>
      <c r="I46"/>
      <c r="J46"/>
      <c r="K46"/>
      <c r="L46"/>
      <c r="M46"/>
      <c r="N46"/>
    </row>
    <row r="47" spans="3:18" x14ac:dyDescent="0.2">
      <c r="C47"/>
      <c r="D47"/>
      <c r="E47"/>
      <c r="F47"/>
      <c r="G47"/>
      <c r="H47"/>
      <c r="I47"/>
      <c r="J47"/>
      <c r="K47"/>
      <c r="L47"/>
      <c r="M47"/>
      <c r="N47"/>
    </row>
    <row r="48" spans="3:18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ht="12" customHeight="1" x14ac:dyDescent="0.2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F54"/>
      <c r="G54"/>
      <c r="H54"/>
      <c r="I54"/>
      <c r="J54"/>
      <c r="K54"/>
      <c r="L54"/>
      <c r="M54"/>
      <c r="N54"/>
    </row>
    <row r="55" spans="3:14" ht="12.75" customHeight="1" x14ac:dyDescent="0.2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F59"/>
      <c r="G59"/>
      <c r="H59"/>
      <c r="I59"/>
      <c r="J59"/>
      <c r="K59"/>
      <c r="L59"/>
      <c r="M59"/>
      <c r="N59"/>
    </row>
    <row r="60" spans="3:14" ht="9.75" customHeight="1" x14ac:dyDescent="0.2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F63"/>
      <c r="G63"/>
      <c r="H63"/>
      <c r="I63"/>
      <c r="J63"/>
      <c r="K63"/>
      <c r="L63"/>
      <c r="M63"/>
      <c r="N63"/>
    </row>
    <row r="64" spans="3:14" ht="9" customHeight="1" x14ac:dyDescent="0.2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">
      <c r="C68"/>
      <c r="D68"/>
      <c r="E68"/>
      <c r="F68"/>
      <c r="G68"/>
      <c r="H68"/>
      <c r="I68"/>
      <c r="J68"/>
      <c r="K68"/>
      <c r="L68"/>
      <c r="M68"/>
      <c r="N68"/>
    </row>
  </sheetData>
  <mergeCells count="35">
    <mergeCell ref="O11:R11"/>
    <mergeCell ref="Q13:R13"/>
    <mergeCell ref="Q17:R17"/>
    <mergeCell ref="D9:R9"/>
    <mergeCell ref="Q18:R18"/>
    <mergeCell ref="I11:J11"/>
    <mergeCell ref="Q12:R12"/>
    <mergeCell ref="Q14:R14"/>
    <mergeCell ref="Q15:R15"/>
    <mergeCell ref="Q16:R16"/>
    <mergeCell ref="C39:M39"/>
    <mergeCell ref="Q19:R19"/>
    <mergeCell ref="Q26:R26"/>
    <mergeCell ref="Q25:R25"/>
    <mergeCell ref="Q24:R24"/>
    <mergeCell ref="Q20:R20"/>
    <mergeCell ref="Q21:R21"/>
    <mergeCell ref="Q22:R22"/>
    <mergeCell ref="Q23:R23"/>
    <mergeCell ref="S11:V11"/>
    <mergeCell ref="U12:V12"/>
    <mergeCell ref="U13:V13"/>
    <mergeCell ref="U14:V14"/>
    <mergeCell ref="U15:V15"/>
    <mergeCell ref="U16:V16"/>
    <mergeCell ref="U23:V23"/>
    <mergeCell ref="U24:V24"/>
    <mergeCell ref="U25:V25"/>
    <mergeCell ref="U26:V26"/>
    <mergeCell ref="U17:V17"/>
    <mergeCell ref="U18:V18"/>
    <mergeCell ref="U19:V19"/>
    <mergeCell ref="U20:V20"/>
    <mergeCell ref="U21:V21"/>
    <mergeCell ref="U22:V22"/>
  </mergeCells>
  <phoneticPr fontId="28" type="noConversion"/>
  <printOptions horizontalCentered="1"/>
  <pageMargins left="0.5" right="0.5" top="0.87" bottom="0.83" header="0.5" footer="0.24"/>
  <pageSetup scale="5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57150</xdr:rowOff>
              </from>
              <to>
                <xdr:col>2</xdr:col>
                <xdr:colOff>247650</xdr:colOff>
                <xdr:row>0</xdr:row>
                <xdr:rowOff>161925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X47"/>
  <sheetViews>
    <sheetView view="pageBreakPreview" zoomScale="60" zoomScaleNormal="100" workbookViewId="0">
      <selection activeCell="B7" sqref="B7:J47"/>
    </sheetView>
  </sheetViews>
  <sheetFormatPr defaultRowHeight="12.75" x14ac:dyDescent="0.2"/>
  <cols>
    <col min="3" max="3" width="30" customWidth="1"/>
    <col min="4" max="5" width="14" customWidth="1"/>
    <col min="6" max="6" width="13" customWidth="1"/>
    <col min="7" max="7" width="15.28515625" customWidth="1"/>
    <col min="8" max="8" width="10.42578125" customWidth="1"/>
    <col min="9" max="9" width="13" customWidth="1"/>
    <col min="10" max="10" width="14.7109375" customWidth="1"/>
  </cols>
  <sheetData>
    <row r="2" spans="2:24" ht="15" x14ac:dyDescent="0.25">
      <c r="I2" s="4"/>
      <c r="J2" s="72" t="s">
        <v>207</v>
      </c>
      <c r="N2" s="100" t="s">
        <v>207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2:24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7" spans="2:24" ht="23.25" x14ac:dyDescent="0.35">
      <c r="B7" s="279" t="s">
        <v>286</v>
      </c>
      <c r="C7" s="621" t="s">
        <v>277</v>
      </c>
      <c r="D7" s="621"/>
      <c r="E7" s="621"/>
      <c r="F7" s="621"/>
      <c r="G7" s="621"/>
      <c r="H7" s="621"/>
      <c r="I7" s="621"/>
      <c r="J7" s="621"/>
    </row>
    <row r="8" spans="2:24" ht="15" x14ac:dyDescent="0.25">
      <c r="B8" s="157"/>
      <c r="C8" s="315"/>
      <c r="D8" s="301"/>
      <c r="E8" s="301"/>
      <c r="F8" s="301"/>
      <c r="G8" s="301"/>
      <c r="H8" s="301"/>
      <c r="I8" s="301"/>
      <c r="J8" s="301"/>
      <c r="K8" s="19"/>
    </row>
    <row r="9" spans="2:24" ht="15" x14ac:dyDescent="0.25">
      <c r="B9" s="157"/>
      <c r="C9" s="316" t="s">
        <v>261</v>
      </c>
      <c r="D9" s="302" t="s">
        <v>0</v>
      </c>
      <c r="E9" s="302" t="s">
        <v>0</v>
      </c>
      <c r="F9" s="302"/>
      <c r="G9" s="302"/>
      <c r="H9" s="302"/>
      <c r="I9" s="302"/>
      <c r="J9" s="157"/>
      <c r="K9" s="19"/>
    </row>
    <row r="10" spans="2:24" ht="15" x14ac:dyDescent="0.25">
      <c r="B10" s="157"/>
      <c r="C10" s="310" t="s">
        <v>262</v>
      </c>
      <c r="D10" s="302" t="s">
        <v>154</v>
      </c>
      <c r="E10" s="302" t="s">
        <v>155</v>
      </c>
      <c r="F10" s="302" t="s">
        <v>156</v>
      </c>
      <c r="G10" s="302" t="s">
        <v>157</v>
      </c>
      <c r="H10" s="302" t="s">
        <v>158</v>
      </c>
      <c r="I10" s="302" t="s">
        <v>18</v>
      </c>
      <c r="J10" s="310" t="s">
        <v>263</v>
      </c>
      <c r="K10" s="19"/>
    </row>
    <row r="11" spans="2:24" ht="15" x14ac:dyDescent="0.25">
      <c r="B11" s="157"/>
      <c r="C11" s="157" t="s">
        <v>264</v>
      </c>
      <c r="D11" s="304">
        <f>5342+546</f>
        <v>5888</v>
      </c>
      <c r="E11" s="304">
        <f>1098+14</f>
        <v>1112</v>
      </c>
      <c r="F11" s="304">
        <f>222+425</f>
        <v>647</v>
      </c>
      <c r="G11" s="304">
        <f>117+81</f>
        <v>198</v>
      </c>
      <c r="H11" s="304">
        <f>98+249</f>
        <v>347</v>
      </c>
      <c r="I11" s="304">
        <f>465</f>
        <v>465</v>
      </c>
      <c r="J11" s="311">
        <f>SUM(D11:I11)</f>
        <v>8657</v>
      </c>
      <c r="K11" s="19"/>
    </row>
    <row r="12" spans="2:24" ht="15" x14ac:dyDescent="0.25">
      <c r="B12" s="157"/>
      <c r="C12" s="157" t="s">
        <v>265</v>
      </c>
      <c r="D12" s="304">
        <f>5044+4652</f>
        <v>9696</v>
      </c>
      <c r="E12" s="304">
        <f>671+62</f>
        <v>733</v>
      </c>
      <c r="F12" s="304">
        <f>170+303</f>
        <v>473</v>
      </c>
      <c r="G12" s="304">
        <f>160+109</f>
        <v>269</v>
      </c>
      <c r="H12" s="304">
        <f>96+183</f>
        <v>279</v>
      </c>
      <c r="I12" s="304">
        <f>295+258</f>
        <v>553</v>
      </c>
      <c r="J12" s="311">
        <f t="shared" ref="J12:J18" si="0">SUM(D12:I12)</f>
        <v>12003</v>
      </c>
      <c r="K12" s="19"/>
    </row>
    <row r="13" spans="2:24" ht="15" x14ac:dyDescent="0.25">
      <c r="B13" s="157"/>
      <c r="C13" s="157" t="s">
        <v>266</v>
      </c>
      <c r="D13" s="304">
        <f>5459+6067</f>
        <v>11526</v>
      </c>
      <c r="E13" s="304">
        <f>623+702</f>
        <v>1325</v>
      </c>
      <c r="F13" s="304">
        <f>152+269</f>
        <v>421</v>
      </c>
      <c r="G13" s="304">
        <f>171+103</f>
        <v>274</v>
      </c>
      <c r="H13" s="304">
        <f>64+131</f>
        <v>195</v>
      </c>
      <c r="I13" s="304">
        <f>172+118</f>
        <v>290</v>
      </c>
      <c r="J13" s="311">
        <f t="shared" si="0"/>
        <v>14031</v>
      </c>
      <c r="K13" s="19"/>
    </row>
    <row r="14" spans="2:24" ht="15" x14ac:dyDescent="0.25">
      <c r="B14" s="157"/>
      <c r="C14" s="157" t="s">
        <v>267</v>
      </c>
      <c r="D14" s="304">
        <f>6118+5916</f>
        <v>12034</v>
      </c>
      <c r="E14" s="304">
        <f>498+450</f>
        <v>948</v>
      </c>
      <c r="F14" s="304">
        <v>0</v>
      </c>
      <c r="G14" s="304">
        <v>0</v>
      </c>
      <c r="H14" s="304">
        <v>0</v>
      </c>
      <c r="I14" s="304">
        <f>64+102</f>
        <v>166</v>
      </c>
      <c r="J14" s="311">
        <f t="shared" si="0"/>
        <v>13148</v>
      </c>
      <c r="K14" s="19"/>
    </row>
    <row r="15" spans="2:24" ht="15" x14ac:dyDescent="0.25">
      <c r="B15" s="157"/>
      <c r="C15" s="157" t="s">
        <v>268</v>
      </c>
      <c r="D15" s="304">
        <f>4550+5497</f>
        <v>10047</v>
      </c>
      <c r="E15" s="304">
        <f>573+808</f>
        <v>1381</v>
      </c>
      <c r="F15" s="304">
        <f>198+389</f>
        <v>587</v>
      </c>
      <c r="G15" s="304">
        <f>395+201</f>
        <v>596</v>
      </c>
      <c r="H15" s="304">
        <f>125+252</f>
        <v>377</v>
      </c>
      <c r="I15" s="304">
        <f>175+184</f>
        <v>359</v>
      </c>
      <c r="J15" s="311">
        <f t="shared" si="0"/>
        <v>13347</v>
      </c>
      <c r="K15" s="19"/>
    </row>
    <row r="16" spans="2:24" ht="15" x14ac:dyDescent="0.25">
      <c r="B16" s="157"/>
      <c r="C16" s="157" t="s">
        <v>269</v>
      </c>
      <c r="D16" s="304">
        <f>1192+6081</f>
        <v>7273</v>
      </c>
      <c r="E16" s="304">
        <f>5241+3856</f>
        <v>9097</v>
      </c>
      <c r="F16" s="304">
        <f>257+411</f>
        <v>668</v>
      </c>
      <c r="G16" s="304">
        <f>81+52</f>
        <v>133</v>
      </c>
      <c r="H16" s="304">
        <f>155+182</f>
        <v>337</v>
      </c>
      <c r="I16" s="304">
        <f>258+210</f>
        <v>468</v>
      </c>
      <c r="J16" s="311">
        <f t="shared" si="0"/>
        <v>17976</v>
      </c>
      <c r="K16" s="19"/>
    </row>
    <row r="17" spans="2:11" ht="15" x14ac:dyDescent="0.25">
      <c r="B17" s="157"/>
      <c r="C17" s="157" t="s">
        <v>270</v>
      </c>
      <c r="D17" s="304">
        <f>5460+4598</f>
        <v>10058</v>
      </c>
      <c r="E17" s="304">
        <f>2027+1597</f>
        <v>3624</v>
      </c>
      <c r="F17" s="304">
        <f>239+351</f>
        <v>590</v>
      </c>
      <c r="G17" s="304">
        <f>33+25</f>
        <v>58</v>
      </c>
      <c r="H17" s="304">
        <f>100+141</f>
        <v>241</v>
      </c>
      <c r="I17" s="304">
        <f>156+103</f>
        <v>259</v>
      </c>
      <c r="J17" s="311">
        <f t="shared" si="0"/>
        <v>14830</v>
      </c>
      <c r="K17" s="19"/>
    </row>
    <row r="18" spans="2:11" ht="15" x14ac:dyDescent="0.25">
      <c r="B18" s="157"/>
      <c r="C18" s="157" t="s">
        <v>271</v>
      </c>
      <c r="D18" s="304">
        <f>3095+3987</f>
        <v>7082</v>
      </c>
      <c r="E18" s="304">
        <f>5+956</f>
        <v>961</v>
      </c>
      <c r="F18" s="304">
        <f>190+33</f>
        <v>223</v>
      </c>
      <c r="G18" s="304">
        <f>5+8</f>
        <v>13</v>
      </c>
      <c r="H18" s="304">
        <f>112+6</f>
        <v>118</v>
      </c>
      <c r="I18" s="304">
        <f>54+34</f>
        <v>88</v>
      </c>
      <c r="J18" s="311">
        <f t="shared" si="0"/>
        <v>8485</v>
      </c>
      <c r="K18" s="19"/>
    </row>
    <row r="19" spans="2:11" ht="15" x14ac:dyDescent="0.25">
      <c r="B19" s="157"/>
      <c r="C19" s="157"/>
      <c r="D19" s="304"/>
      <c r="E19" s="304"/>
      <c r="F19" s="304"/>
      <c r="G19" s="304"/>
      <c r="H19" s="304"/>
      <c r="I19" s="304"/>
      <c r="J19" s="310"/>
      <c r="K19" s="19"/>
    </row>
    <row r="20" spans="2:11" ht="15" x14ac:dyDescent="0.25">
      <c r="B20" s="157"/>
      <c r="C20" s="310" t="s">
        <v>272</v>
      </c>
      <c r="D20" s="304"/>
      <c r="E20" s="304"/>
      <c r="F20" s="304"/>
      <c r="G20" s="304"/>
      <c r="H20" s="304"/>
      <c r="I20" s="304"/>
      <c r="J20" s="310"/>
      <c r="K20" s="19"/>
    </row>
    <row r="21" spans="2:11" ht="15" x14ac:dyDescent="0.25">
      <c r="B21" s="157"/>
      <c r="C21" s="157" t="s">
        <v>264</v>
      </c>
      <c r="D21" s="304">
        <f>1066+370</f>
        <v>1436</v>
      </c>
      <c r="E21" s="304">
        <f>255+238</f>
        <v>493</v>
      </c>
      <c r="F21" s="304">
        <f>81+81</f>
        <v>162</v>
      </c>
      <c r="G21" s="304">
        <v>3</v>
      </c>
      <c r="H21" s="304">
        <f>22+45</f>
        <v>67</v>
      </c>
      <c r="I21" s="304">
        <f>136+97</f>
        <v>233</v>
      </c>
      <c r="J21" s="311">
        <f>SUM(D21:I21)</f>
        <v>2394</v>
      </c>
      <c r="K21" s="19"/>
    </row>
    <row r="22" spans="2:11" ht="15" x14ac:dyDescent="0.25">
      <c r="B22" s="157"/>
      <c r="C22" s="157" t="s">
        <v>265</v>
      </c>
      <c r="D22" s="304">
        <f>1067+361</f>
        <v>1428</v>
      </c>
      <c r="E22" s="304">
        <f>246+180</f>
        <v>426</v>
      </c>
      <c r="F22" s="304">
        <f>103+58</f>
        <v>161</v>
      </c>
      <c r="G22" s="304">
        <f>20+14</f>
        <v>34</v>
      </c>
      <c r="H22" s="304">
        <f>23+26</f>
        <v>49</v>
      </c>
      <c r="I22" s="304">
        <f>110+73</f>
        <v>183</v>
      </c>
      <c r="J22" s="311">
        <f>SUM(D22:I22)</f>
        <v>2281</v>
      </c>
      <c r="K22" s="19"/>
    </row>
    <row r="23" spans="2:11" ht="15" x14ac:dyDescent="0.25">
      <c r="B23" s="157"/>
      <c r="C23" s="157" t="s">
        <v>266</v>
      </c>
      <c r="D23" s="304">
        <f>1015+300</f>
        <v>1315</v>
      </c>
      <c r="E23" s="304">
        <f>147+165</f>
        <v>312</v>
      </c>
      <c r="F23" s="304">
        <f>87+48</f>
        <v>135</v>
      </c>
      <c r="G23" s="304">
        <f>17+10</f>
        <v>27</v>
      </c>
      <c r="H23" s="304">
        <f>18+23</f>
        <v>41</v>
      </c>
      <c r="I23" s="304">
        <f>52+34</f>
        <v>86</v>
      </c>
      <c r="J23" s="311">
        <f>SUM(D23:I23)</f>
        <v>1916</v>
      </c>
      <c r="K23" s="19"/>
    </row>
    <row r="24" spans="2:11" ht="15" x14ac:dyDescent="0.25">
      <c r="B24" s="157"/>
      <c r="C24" s="157" t="s">
        <v>267</v>
      </c>
      <c r="D24" s="304">
        <f>1066+314</f>
        <v>1380</v>
      </c>
      <c r="E24" s="304">
        <f>138+148</f>
        <v>286</v>
      </c>
      <c r="F24" s="304">
        <f>76+45</f>
        <v>121</v>
      </c>
      <c r="G24" s="304">
        <f>12+3</f>
        <v>15</v>
      </c>
      <c r="H24" s="304">
        <f>16+10</f>
        <v>26</v>
      </c>
      <c r="I24" s="304" t="s">
        <v>273</v>
      </c>
      <c r="J24" s="311">
        <f>SUM(D24:I24)</f>
        <v>1828</v>
      </c>
      <c r="K24" s="19"/>
    </row>
    <row r="25" spans="2:11" ht="15" x14ac:dyDescent="0.25">
      <c r="B25" s="157"/>
      <c r="C25" s="157"/>
      <c r="D25" s="304"/>
      <c r="E25" s="304"/>
      <c r="F25" s="304"/>
      <c r="G25" s="304"/>
      <c r="H25" s="304"/>
      <c r="I25" s="304"/>
      <c r="J25" s="310"/>
      <c r="K25" s="19"/>
    </row>
    <row r="26" spans="2:11" ht="15" x14ac:dyDescent="0.25">
      <c r="B26" s="157"/>
      <c r="C26" s="157"/>
      <c r="D26" s="304"/>
      <c r="E26" s="304"/>
      <c r="F26" s="304"/>
      <c r="G26" s="304"/>
      <c r="H26" s="304"/>
      <c r="I26" s="304"/>
      <c r="J26" s="310"/>
      <c r="K26" s="19"/>
    </row>
    <row r="27" spans="2:11" ht="15" x14ac:dyDescent="0.25">
      <c r="B27" s="157"/>
      <c r="C27" s="316" t="s">
        <v>274</v>
      </c>
      <c r="D27" s="304">
        <f t="shared" ref="D27:I27" si="1">SUM(D11:D25)</f>
        <v>79163</v>
      </c>
      <c r="E27" s="304">
        <f t="shared" si="1"/>
        <v>20698</v>
      </c>
      <c r="F27" s="304">
        <f t="shared" si="1"/>
        <v>4188</v>
      </c>
      <c r="G27" s="304">
        <f t="shared" si="1"/>
        <v>1620</v>
      </c>
      <c r="H27" s="304">
        <f t="shared" si="1"/>
        <v>2077</v>
      </c>
      <c r="I27" s="304">
        <f t="shared" si="1"/>
        <v>3150</v>
      </c>
      <c r="J27" s="311">
        <f>SUM(D27:I27)</f>
        <v>110896</v>
      </c>
      <c r="K27" s="19"/>
    </row>
    <row r="28" spans="2:11" ht="15" x14ac:dyDescent="0.25">
      <c r="B28" s="157"/>
      <c r="C28" s="316" t="s">
        <v>275</v>
      </c>
      <c r="D28" s="304">
        <f t="shared" ref="D28:J28" si="2">D27/50</f>
        <v>1583.26</v>
      </c>
      <c r="E28" s="304">
        <f t="shared" si="2"/>
        <v>413.96</v>
      </c>
      <c r="F28" s="304">
        <f t="shared" si="2"/>
        <v>83.76</v>
      </c>
      <c r="G28" s="304">
        <f t="shared" si="2"/>
        <v>32.4</v>
      </c>
      <c r="H28" s="304">
        <f t="shared" si="2"/>
        <v>41.54</v>
      </c>
      <c r="I28" s="304">
        <f t="shared" si="2"/>
        <v>63</v>
      </c>
      <c r="J28" s="311">
        <f t="shared" si="2"/>
        <v>2217.92</v>
      </c>
      <c r="K28" s="19"/>
    </row>
    <row r="29" spans="2:11" ht="15" x14ac:dyDescent="0.25">
      <c r="B29" s="157"/>
      <c r="C29" s="317" t="s">
        <v>276</v>
      </c>
      <c r="D29" s="306">
        <f>SUM(D27:I27)</f>
        <v>110896</v>
      </c>
      <c r="E29" s="307"/>
      <c r="F29" s="307"/>
      <c r="G29" s="307"/>
      <c r="H29" s="307"/>
      <c r="I29" s="307"/>
      <c r="J29" s="156"/>
      <c r="K29" s="19"/>
    </row>
    <row r="30" spans="2:11" x14ac:dyDescent="0.2">
      <c r="B30" s="155"/>
      <c r="C30" s="155"/>
      <c r="D30" s="155"/>
      <c r="E30" s="155"/>
      <c r="F30" s="155"/>
      <c r="G30" s="155"/>
      <c r="H30" s="155"/>
      <c r="I30" s="155"/>
      <c r="J30" s="155"/>
    </row>
    <row r="31" spans="2:11" x14ac:dyDescent="0.2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1" x14ac:dyDescent="0.2">
      <c r="B32" s="155"/>
      <c r="C32" s="155"/>
      <c r="D32" s="155"/>
      <c r="E32" s="155"/>
      <c r="F32" s="155"/>
      <c r="G32" s="155"/>
      <c r="H32" s="155"/>
      <c r="I32" s="155"/>
      <c r="J32" s="155"/>
    </row>
    <row r="33" spans="2:10" x14ac:dyDescent="0.2">
      <c r="B33" s="155"/>
      <c r="C33" s="155"/>
      <c r="D33" s="155"/>
      <c r="E33" s="155"/>
      <c r="F33" s="155"/>
      <c r="G33" s="155"/>
      <c r="H33" s="155"/>
      <c r="I33" s="155"/>
      <c r="J33" s="155"/>
    </row>
    <row r="34" spans="2:10" x14ac:dyDescent="0.2">
      <c r="B34" s="157"/>
      <c r="C34" s="155"/>
      <c r="D34" s="155"/>
      <c r="E34" s="155"/>
      <c r="F34" s="155"/>
      <c r="G34" s="155"/>
      <c r="H34" s="155"/>
      <c r="I34" s="155"/>
      <c r="J34" s="155"/>
    </row>
    <row r="35" spans="2:10" ht="23.25" x14ac:dyDescent="0.35">
      <c r="B35" s="279" t="s">
        <v>287</v>
      </c>
      <c r="C35" s="626" t="s">
        <v>288</v>
      </c>
      <c r="D35" s="626"/>
      <c r="E35" s="626"/>
      <c r="F35" s="626"/>
      <c r="G35" s="626"/>
      <c r="H35" s="319"/>
      <c r="I35" s="319"/>
      <c r="J35" s="319"/>
    </row>
    <row r="36" spans="2:10" ht="15" x14ac:dyDescent="0.25">
      <c r="B36" s="157"/>
      <c r="C36" s="622" t="s">
        <v>249</v>
      </c>
      <c r="D36" s="622"/>
      <c r="E36" s="623"/>
      <c r="F36" s="624" t="s">
        <v>252</v>
      </c>
      <c r="G36" s="622"/>
      <c r="H36" s="157"/>
      <c r="I36" s="155"/>
      <c r="J36" s="155"/>
    </row>
    <row r="37" spans="2:10" ht="15" x14ac:dyDescent="0.25">
      <c r="B37" s="157"/>
      <c r="C37" s="308"/>
      <c r="D37" s="625">
        <v>2012</v>
      </c>
      <c r="E37" s="625"/>
      <c r="F37" s="300"/>
      <c r="G37" s="313"/>
      <c r="H37" s="157"/>
      <c r="I37" s="155"/>
      <c r="J37" s="155"/>
    </row>
    <row r="38" spans="2:10" ht="15" x14ac:dyDescent="0.25">
      <c r="B38" s="157"/>
      <c r="C38" s="310" t="s">
        <v>250</v>
      </c>
      <c r="D38" s="311" t="s">
        <v>93</v>
      </c>
      <c r="E38" s="311" t="s">
        <v>251</v>
      </c>
      <c r="F38" s="303" t="s">
        <v>253</v>
      </c>
      <c r="G38" s="304">
        <v>7101</v>
      </c>
      <c r="H38" s="157"/>
      <c r="I38" s="155"/>
      <c r="J38" s="155"/>
    </row>
    <row r="39" spans="2:10" x14ac:dyDescent="0.2">
      <c r="B39" s="157"/>
      <c r="C39" s="315" t="s">
        <v>154</v>
      </c>
      <c r="D39" s="313">
        <v>645</v>
      </c>
      <c r="E39" s="309">
        <v>5191</v>
      </c>
      <c r="F39" s="303" t="s">
        <v>254</v>
      </c>
      <c r="G39" s="304">
        <v>123</v>
      </c>
      <c r="H39" s="157"/>
      <c r="I39" s="155"/>
      <c r="J39" s="155"/>
    </row>
    <row r="40" spans="2:10" x14ac:dyDescent="0.2">
      <c r="B40" s="157"/>
      <c r="C40" s="157" t="s">
        <v>155</v>
      </c>
      <c r="D40" s="304">
        <v>412</v>
      </c>
      <c r="E40" s="312">
        <v>982</v>
      </c>
      <c r="F40" s="303" t="s">
        <v>255</v>
      </c>
      <c r="G40" s="304">
        <v>6880</v>
      </c>
      <c r="H40" s="157"/>
      <c r="I40" s="155"/>
      <c r="J40" s="155"/>
    </row>
    <row r="41" spans="2:10" x14ac:dyDescent="0.2">
      <c r="B41" s="157"/>
      <c r="C41" s="157" t="s">
        <v>156</v>
      </c>
      <c r="D41" s="304">
        <v>150</v>
      </c>
      <c r="E41" s="312">
        <v>276</v>
      </c>
      <c r="F41" s="303" t="s">
        <v>256</v>
      </c>
      <c r="G41" s="304">
        <v>53</v>
      </c>
      <c r="H41" s="157"/>
      <c r="I41" s="155"/>
      <c r="J41" s="155"/>
    </row>
    <row r="42" spans="2:10" x14ac:dyDescent="0.2">
      <c r="B42" s="157"/>
      <c r="C42" s="157" t="s">
        <v>157</v>
      </c>
      <c r="D42" s="304">
        <v>22</v>
      </c>
      <c r="E42" s="312">
        <v>95</v>
      </c>
      <c r="F42" s="303" t="s">
        <v>257</v>
      </c>
      <c r="G42" s="304">
        <v>16</v>
      </c>
      <c r="H42" s="157"/>
      <c r="I42" s="155"/>
      <c r="J42" s="155"/>
    </row>
    <row r="43" spans="2:10" x14ac:dyDescent="0.2">
      <c r="B43" s="157"/>
      <c r="C43" s="157" t="s">
        <v>158</v>
      </c>
      <c r="D43" s="304">
        <v>74</v>
      </c>
      <c r="E43" s="312">
        <v>117</v>
      </c>
      <c r="F43" s="303" t="s">
        <v>258</v>
      </c>
      <c r="G43" s="304">
        <v>40</v>
      </c>
      <c r="H43" s="157"/>
      <c r="I43" s="155"/>
      <c r="J43" s="155"/>
    </row>
    <row r="44" spans="2:10" x14ac:dyDescent="0.2">
      <c r="B44" s="157"/>
      <c r="C44" s="157" t="s">
        <v>18</v>
      </c>
      <c r="D44" s="304">
        <v>242</v>
      </c>
      <c r="E44" s="312">
        <v>186</v>
      </c>
      <c r="F44" s="303" t="s">
        <v>259</v>
      </c>
      <c r="G44" s="304">
        <v>35</v>
      </c>
      <c r="H44" s="157"/>
      <c r="I44" s="155"/>
      <c r="J44" s="155"/>
    </row>
    <row r="45" spans="2:10" ht="15" x14ac:dyDescent="0.25">
      <c r="B45" s="157"/>
      <c r="C45" s="317" t="s">
        <v>24</v>
      </c>
      <c r="D45" s="306">
        <f>SUM(D39:D44)</f>
        <v>1545</v>
      </c>
      <c r="E45" s="314">
        <f>SUM(E39:E44)</f>
        <v>6847</v>
      </c>
      <c r="F45" s="305" t="s">
        <v>260</v>
      </c>
      <c r="G45" s="306">
        <f>SUM(G38:G44)</f>
        <v>14248</v>
      </c>
      <c r="H45" s="157"/>
      <c r="I45" s="155"/>
      <c r="J45" s="155"/>
    </row>
    <row r="46" spans="2:10" x14ac:dyDescent="0.2">
      <c r="B46" s="155"/>
      <c r="C46" s="155"/>
      <c r="D46" s="155"/>
      <c r="E46" s="155"/>
      <c r="F46" s="155"/>
      <c r="G46" s="155"/>
      <c r="H46" s="155"/>
      <c r="I46" s="155"/>
      <c r="J46" s="155"/>
    </row>
    <row r="47" spans="2:10" x14ac:dyDescent="0.2">
      <c r="B47" s="158" t="s">
        <v>282</v>
      </c>
      <c r="C47" s="155"/>
      <c r="D47" s="155"/>
      <c r="E47" s="155"/>
      <c r="F47" s="155"/>
      <c r="G47" s="155"/>
      <c r="H47" s="155"/>
      <c r="I47" s="155"/>
      <c r="J47" s="155"/>
    </row>
  </sheetData>
  <mergeCells count="5">
    <mergeCell ref="C7:J7"/>
    <mergeCell ref="C36:E36"/>
    <mergeCell ref="F36:G36"/>
    <mergeCell ref="D37:E37"/>
    <mergeCell ref="C35:G35"/>
  </mergeCells>
  <pageMargins left="0.7" right="0.7" top="0.75" bottom="0.75" header="0.3" footer="0.3"/>
  <pageSetup paperSize="9" scale="50" orientation="portrait" r:id="rId1"/>
  <colBreaks count="1" manualBreakCount="1">
    <brk id="11" max="51" man="1"/>
  </colBreaks>
  <drawing r:id="rId2"/>
  <legacyDrawing r:id="rId3"/>
  <oleObjects>
    <mc:AlternateContent xmlns:mc="http://schemas.openxmlformats.org/markup-compatibility/2006">
      <mc:Choice Requires="x14">
        <oleObject progId="MSPhotoEd.3" shapeId="38914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9525</xdr:rowOff>
              </from>
              <to>
                <xdr:col>2</xdr:col>
                <xdr:colOff>28575</xdr:colOff>
                <xdr:row>0</xdr:row>
                <xdr:rowOff>161925</xdr:rowOff>
              </to>
            </anchor>
          </objectPr>
        </oleObject>
      </mc:Choice>
      <mc:Fallback>
        <oleObject progId="MSPhotoEd.3" shapeId="38914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C2:P66"/>
  <sheetViews>
    <sheetView zoomScaleNormal="100" workbookViewId="0">
      <selection activeCell="O4" sqref="O4"/>
    </sheetView>
  </sheetViews>
  <sheetFormatPr defaultColWidth="9.140625" defaultRowHeight="12.75" x14ac:dyDescent="0.2"/>
  <cols>
    <col min="1" max="2" width="9.140625" style="320"/>
    <col min="3" max="3" width="7.42578125" style="320" customWidth="1"/>
    <col min="4" max="4" width="19.42578125" style="320" customWidth="1"/>
    <col min="5" max="5" width="10.85546875" style="320" bestFit="1" customWidth="1"/>
    <col min="6" max="6" width="11.7109375" style="320" customWidth="1"/>
    <col min="7" max="7" width="13.140625" style="320" customWidth="1"/>
    <col min="8" max="9" width="9.140625" style="320"/>
    <col min="10" max="10" width="11.140625" style="320" customWidth="1"/>
    <col min="11" max="11" width="12.5703125" style="320" customWidth="1"/>
    <col min="12" max="12" width="9.140625" style="320"/>
    <col min="13" max="13" width="10.7109375" style="320" customWidth="1"/>
    <col min="14" max="14" width="12.140625" style="320" customWidth="1"/>
    <col min="15" max="15" width="14.42578125" style="320" customWidth="1"/>
    <col min="16" max="16384" width="9.140625" style="320"/>
  </cols>
  <sheetData>
    <row r="2" spans="3:16" x14ac:dyDescent="0.2">
      <c r="C2" s="29"/>
      <c r="D2" s="29"/>
      <c r="F2" s="586" t="s">
        <v>349</v>
      </c>
      <c r="G2" s="586"/>
      <c r="H2" s="586"/>
      <c r="I2" s="586"/>
    </row>
    <row r="4" spans="3:16" x14ac:dyDescent="0.2">
      <c r="C4" s="29"/>
      <c r="D4" s="29"/>
    </row>
    <row r="6" spans="3:16" x14ac:dyDescent="0.2">
      <c r="C6" s="29"/>
      <c r="D6" s="321"/>
    </row>
    <row r="7" spans="3:16" x14ac:dyDescent="0.2">
      <c r="C7" s="29"/>
      <c r="D7" s="321"/>
    </row>
    <row r="8" spans="3:16" ht="15.75" x14ac:dyDescent="0.25">
      <c r="C8" s="322" t="s">
        <v>285</v>
      </c>
      <c r="E8" s="628" t="s">
        <v>369</v>
      </c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</row>
    <row r="9" spans="3:16" x14ac:dyDescent="0.2">
      <c r="C9" s="29"/>
      <c r="D9" s="541"/>
    </row>
    <row r="10" spans="3:16" ht="17.25" customHeight="1" x14ac:dyDescent="0.2">
      <c r="C10" s="29"/>
      <c r="D10" s="542"/>
      <c r="E10" s="627">
        <v>2021</v>
      </c>
      <c r="F10" s="627"/>
      <c r="G10" s="627"/>
      <c r="H10" s="627"/>
      <c r="I10" s="627">
        <v>2022</v>
      </c>
      <c r="J10" s="627"/>
      <c r="K10" s="627"/>
      <c r="L10" s="627"/>
      <c r="M10" s="627">
        <v>2023</v>
      </c>
      <c r="N10" s="627"/>
      <c r="O10" s="627"/>
      <c r="P10" s="627"/>
    </row>
    <row r="11" spans="3:16" ht="18" customHeight="1" x14ac:dyDescent="0.2">
      <c r="C11" s="29"/>
      <c r="D11" s="543" t="s">
        <v>159</v>
      </c>
      <c r="E11" s="544" t="s">
        <v>160</v>
      </c>
      <c r="F11" s="544" t="s">
        <v>161</v>
      </c>
      <c r="G11" s="545" t="s">
        <v>248</v>
      </c>
      <c r="H11" s="545"/>
      <c r="I11" s="544" t="s">
        <v>160</v>
      </c>
      <c r="J11" s="544" t="s">
        <v>161</v>
      </c>
      <c r="K11" s="545" t="s">
        <v>248</v>
      </c>
      <c r="L11" s="545"/>
      <c r="M11" s="544" t="s">
        <v>160</v>
      </c>
      <c r="N11" s="544" t="s">
        <v>161</v>
      </c>
      <c r="O11" s="545" t="s">
        <v>248</v>
      </c>
      <c r="P11" s="545"/>
    </row>
    <row r="12" spans="3:16" ht="12" customHeight="1" x14ac:dyDescent="0.2">
      <c r="C12" s="29"/>
      <c r="D12" s="546"/>
      <c r="E12" s="371"/>
      <c r="F12" s="371"/>
      <c r="G12" s="547"/>
      <c r="H12" s="547"/>
      <c r="I12" s="371"/>
      <c r="J12" s="371"/>
      <c r="K12" s="547"/>
      <c r="L12" s="547"/>
      <c r="M12" s="371"/>
      <c r="N12" s="371"/>
      <c r="O12" s="547"/>
      <c r="P12" s="547"/>
    </row>
    <row r="13" spans="3:16" ht="13.5" customHeight="1" x14ac:dyDescent="0.2">
      <c r="C13" s="29"/>
      <c r="D13" s="321" t="s">
        <v>24</v>
      </c>
      <c r="E13" s="371">
        <f>SUM(E15,E17,E19,E21,E23,E25)</f>
        <v>21485</v>
      </c>
      <c r="F13" s="371">
        <f>SUM(F15,F17,F19,F21,F23,F25)</f>
        <v>29100</v>
      </c>
      <c r="G13" s="370">
        <f>SUM(G15,G17,G19,G21,G23,G25)</f>
        <v>9851</v>
      </c>
      <c r="H13" s="370"/>
      <c r="I13" s="371">
        <f>SUM(I15,I17,I19,I21,I23,I25)</f>
        <v>17147</v>
      </c>
      <c r="J13" s="371">
        <f>SUM(J15,J17,J19,J21,J23,J25)</f>
        <v>23379</v>
      </c>
      <c r="K13" s="370">
        <f>SUM(K15,K17,K19,K21,K23,K25)</f>
        <v>10302</v>
      </c>
      <c r="L13" s="370"/>
      <c r="M13" s="371">
        <f>SUM(M15:M25)</f>
        <v>20846</v>
      </c>
      <c r="N13" s="371">
        <f>SUM(N15:N25)</f>
        <v>26970</v>
      </c>
      <c r="O13" s="370">
        <f>SUM(O15:O25)</f>
        <v>19668</v>
      </c>
      <c r="P13" s="370"/>
    </row>
    <row r="14" spans="3:16" ht="12" customHeight="1" x14ac:dyDescent="0.2">
      <c r="C14" s="29"/>
      <c r="D14" s="546"/>
      <c r="E14" s="370"/>
      <c r="F14" s="370"/>
      <c r="G14" s="548"/>
      <c r="H14" s="548"/>
      <c r="I14" s="370"/>
      <c r="J14" s="370"/>
      <c r="K14" s="548"/>
      <c r="L14" s="548"/>
      <c r="M14" s="370"/>
      <c r="N14" s="370"/>
      <c r="O14" s="548"/>
      <c r="P14" s="548"/>
    </row>
    <row r="15" spans="3:16" ht="12" customHeight="1" x14ac:dyDescent="0.2">
      <c r="C15" s="29"/>
      <c r="D15" s="542" t="s">
        <v>154</v>
      </c>
      <c r="E15" s="373">
        <v>15240</v>
      </c>
      <c r="F15" s="373">
        <v>20417</v>
      </c>
      <c r="G15" s="376">
        <v>2504</v>
      </c>
      <c r="H15" s="549"/>
      <c r="I15" s="373">
        <v>12032</v>
      </c>
      <c r="J15" s="373">
        <v>16377</v>
      </c>
      <c r="K15" s="376">
        <v>4274</v>
      </c>
      <c r="L15" s="549"/>
      <c r="M15" s="373">
        <v>13661</v>
      </c>
      <c r="N15" s="373">
        <v>17571</v>
      </c>
      <c r="O15" s="376">
        <v>10346</v>
      </c>
      <c r="P15" s="549"/>
    </row>
    <row r="16" spans="3:16" ht="13.5" customHeight="1" x14ac:dyDescent="0.2">
      <c r="C16" s="29"/>
      <c r="D16" s="542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</row>
    <row r="17" spans="3:16" ht="13.5" customHeight="1" x14ac:dyDescent="0.2">
      <c r="C17" s="29"/>
      <c r="D17" s="542" t="s">
        <v>155</v>
      </c>
      <c r="E17" s="548">
        <v>2138</v>
      </c>
      <c r="F17" s="548">
        <v>2858</v>
      </c>
      <c r="G17" s="376">
        <v>2893</v>
      </c>
      <c r="H17" s="549"/>
      <c r="I17" s="548">
        <v>1556</v>
      </c>
      <c r="J17" s="548">
        <v>2052</v>
      </c>
      <c r="K17" s="376">
        <v>1897</v>
      </c>
      <c r="L17" s="549"/>
      <c r="M17" s="548">
        <v>2055</v>
      </c>
      <c r="N17" s="548">
        <v>2748</v>
      </c>
      <c r="O17" s="376">
        <v>4232</v>
      </c>
      <c r="P17" s="549"/>
    </row>
    <row r="18" spans="3:16" ht="13.5" customHeight="1" x14ac:dyDescent="0.2">
      <c r="C18" s="29"/>
      <c r="D18" s="542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</row>
    <row r="19" spans="3:16" ht="13.5" customHeight="1" x14ac:dyDescent="0.2">
      <c r="C19" s="29"/>
      <c r="D19" s="542" t="s">
        <v>156</v>
      </c>
      <c r="E19" s="548">
        <v>653</v>
      </c>
      <c r="F19" s="548">
        <v>833</v>
      </c>
      <c r="G19" s="376">
        <v>1065</v>
      </c>
      <c r="H19" s="549"/>
      <c r="I19" s="548">
        <v>607</v>
      </c>
      <c r="J19" s="548">
        <v>782</v>
      </c>
      <c r="K19" s="376">
        <v>847</v>
      </c>
      <c r="L19" s="549"/>
      <c r="M19" s="548">
        <v>1030</v>
      </c>
      <c r="N19" s="548">
        <v>1264</v>
      </c>
      <c r="O19" s="376">
        <v>487</v>
      </c>
      <c r="P19" s="549"/>
    </row>
    <row r="20" spans="3:16" ht="13.5" customHeight="1" x14ac:dyDescent="0.2">
      <c r="C20" s="29"/>
      <c r="D20" s="542"/>
      <c r="E20" s="370"/>
      <c r="F20" s="370"/>
      <c r="G20" s="548"/>
      <c r="H20" s="548"/>
      <c r="I20" s="370"/>
      <c r="J20" s="370"/>
      <c r="K20" s="548"/>
      <c r="L20" s="548"/>
      <c r="M20" s="370"/>
      <c r="N20" s="370"/>
      <c r="O20" s="548"/>
      <c r="P20" s="548"/>
    </row>
    <row r="21" spans="3:16" ht="13.5" customHeight="1" x14ac:dyDescent="0.2">
      <c r="C21" s="29"/>
      <c r="D21" s="542" t="s">
        <v>157</v>
      </c>
      <c r="E21" s="376">
        <v>1937</v>
      </c>
      <c r="F21" s="376">
        <v>3136</v>
      </c>
      <c r="G21" s="376">
        <v>1799</v>
      </c>
      <c r="H21" s="376"/>
      <c r="I21" s="376">
        <v>1386</v>
      </c>
      <c r="J21" s="376">
        <v>2273</v>
      </c>
      <c r="K21" s="376">
        <v>1126</v>
      </c>
      <c r="L21" s="376"/>
      <c r="M21" s="376">
        <v>1902</v>
      </c>
      <c r="N21" s="376">
        <v>2798</v>
      </c>
      <c r="O21" s="376">
        <v>2504</v>
      </c>
      <c r="P21" s="376"/>
    </row>
    <row r="22" spans="3:16" ht="13.5" customHeight="1" x14ac:dyDescent="0.2">
      <c r="C22" s="29"/>
      <c r="D22" s="542"/>
      <c r="E22" s="376"/>
      <c r="F22" s="376"/>
      <c r="G22" s="548"/>
      <c r="H22" s="548"/>
      <c r="I22" s="376"/>
      <c r="J22" s="376"/>
      <c r="K22" s="548"/>
      <c r="L22" s="548"/>
      <c r="M22" s="376"/>
      <c r="N22" s="376"/>
      <c r="O22" s="548"/>
      <c r="P22" s="548"/>
    </row>
    <row r="23" spans="3:16" ht="13.5" customHeight="1" x14ac:dyDescent="0.2">
      <c r="C23" s="29"/>
      <c r="D23" s="542" t="s">
        <v>158</v>
      </c>
      <c r="E23" s="376">
        <v>613</v>
      </c>
      <c r="F23" s="376">
        <v>828</v>
      </c>
      <c r="G23" s="376">
        <v>1187</v>
      </c>
      <c r="H23" s="376"/>
      <c r="I23" s="376">
        <v>386</v>
      </c>
      <c r="J23" s="376">
        <v>516</v>
      </c>
      <c r="K23" s="376">
        <v>1461</v>
      </c>
      <c r="L23" s="376"/>
      <c r="M23" s="376">
        <v>642</v>
      </c>
      <c r="N23" s="376">
        <v>813</v>
      </c>
      <c r="O23" s="376">
        <v>1494</v>
      </c>
      <c r="P23" s="376"/>
    </row>
    <row r="24" spans="3:16" ht="13.5" customHeight="1" x14ac:dyDescent="0.2">
      <c r="C24" s="29"/>
      <c r="D24" s="542"/>
      <c r="E24" s="376"/>
      <c r="F24" s="376"/>
      <c r="G24" s="548"/>
      <c r="H24" s="548"/>
      <c r="I24" s="376"/>
      <c r="J24" s="376"/>
      <c r="K24" s="548"/>
      <c r="L24" s="548"/>
      <c r="M24" s="376"/>
      <c r="N24" s="376"/>
      <c r="O24" s="548"/>
      <c r="P24" s="548"/>
    </row>
    <row r="25" spans="3:16" ht="13.5" customHeight="1" x14ac:dyDescent="0.2">
      <c r="C25" s="29"/>
      <c r="D25" s="541" t="s">
        <v>18</v>
      </c>
      <c r="E25" s="462">
        <v>904</v>
      </c>
      <c r="F25" s="462">
        <v>1028</v>
      </c>
      <c r="G25" s="462">
        <v>403</v>
      </c>
      <c r="H25" s="462"/>
      <c r="I25" s="462">
        <v>1180</v>
      </c>
      <c r="J25" s="462">
        <v>1379</v>
      </c>
      <c r="K25" s="462">
        <v>697</v>
      </c>
      <c r="L25" s="462"/>
      <c r="M25" s="462">
        <v>1556</v>
      </c>
      <c r="N25" s="462">
        <v>1776</v>
      </c>
      <c r="O25" s="462">
        <v>605</v>
      </c>
      <c r="P25" s="462"/>
    </row>
    <row r="26" spans="3:16" x14ac:dyDescent="0.2">
      <c r="C26" s="29"/>
      <c r="D26" s="550" t="s">
        <v>173</v>
      </c>
      <c r="E26" s="29"/>
      <c r="F26" s="29"/>
      <c r="G26" s="29"/>
      <c r="H26" s="29"/>
      <c r="I26" s="29"/>
      <c r="J26" s="29"/>
      <c r="K26" s="29"/>
      <c r="L26" s="29"/>
    </row>
    <row r="27" spans="3:16" ht="13.5" customHeight="1" x14ac:dyDescent="0.2">
      <c r="C27" s="29"/>
      <c r="D27" s="320" t="s">
        <v>319</v>
      </c>
      <c r="E27" s="29"/>
      <c r="F27" s="29"/>
      <c r="G27" s="29"/>
      <c r="H27" s="29"/>
      <c r="I27" s="29"/>
      <c r="J27" s="29"/>
      <c r="K27" s="29"/>
      <c r="L27" s="29"/>
    </row>
    <row r="28" spans="3:16" ht="13.5" customHeight="1" x14ac:dyDescent="0.2">
      <c r="C28" s="29"/>
      <c r="D28" s="323" t="s">
        <v>320</v>
      </c>
      <c r="E28" s="29"/>
      <c r="F28" s="29"/>
      <c r="G28" s="29"/>
      <c r="H28" s="29"/>
      <c r="I28" s="29"/>
      <c r="J28" s="29"/>
      <c r="K28" s="29"/>
      <c r="L28" s="29"/>
    </row>
    <row r="29" spans="3:16" ht="13.5" customHeight="1" x14ac:dyDescent="0.2">
      <c r="C29" s="29"/>
      <c r="D29" s="323"/>
      <c r="E29" s="29"/>
      <c r="F29" s="29"/>
      <c r="G29" s="29"/>
      <c r="H29" s="29"/>
      <c r="I29" s="29"/>
      <c r="J29" s="29"/>
      <c r="K29" s="29"/>
      <c r="L29" s="29"/>
    </row>
    <row r="30" spans="3:16" ht="13.5" customHeight="1" x14ac:dyDescent="0.2">
      <c r="C30" s="29"/>
      <c r="D30" s="351" t="s">
        <v>174</v>
      </c>
      <c r="E30" s="29"/>
      <c r="F30" s="29"/>
      <c r="G30" s="29"/>
      <c r="H30" s="29"/>
    </row>
    <row r="31" spans="3:16" ht="13.5" customHeight="1" x14ac:dyDescent="0.2">
      <c r="C31" s="29"/>
      <c r="D31" s="323"/>
      <c r="E31" s="29"/>
      <c r="F31" s="29"/>
      <c r="G31" s="29"/>
      <c r="H31" s="29"/>
    </row>
    <row r="32" spans="3:16" ht="13.5" customHeight="1" x14ac:dyDescent="0.2">
      <c r="C32" s="29"/>
      <c r="D32" s="29"/>
    </row>
    <row r="33" spans="3:4" ht="13.5" customHeight="1" x14ac:dyDescent="0.2">
      <c r="C33" s="29"/>
      <c r="D33" s="323"/>
    </row>
    <row r="34" spans="3:4" ht="13.5" customHeight="1" x14ac:dyDescent="0.2">
      <c r="C34" s="29"/>
      <c r="D34" s="323"/>
    </row>
    <row r="35" spans="3:4" x14ac:dyDescent="0.2">
      <c r="C35" s="29"/>
      <c r="D35" s="29"/>
    </row>
    <row r="36" spans="3:4" x14ac:dyDescent="0.2">
      <c r="C36" s="29"/>
      <c r="D36" s="29"/>
    </row>
    <row r="37" spans="3:4" x14ac:dyDescent="0.2">
      <c r="C37" s="324"/>
      <c r="D37" s="324"/>
    </row>
    <row r="38" spans="3:4" x14ac:dyDescent="0.2">
      <c r="C38" s="29"/>
      <c r="D38" s="29"/>
    </row>
    <row r="39" spans="3:4" x14ac:dyDescent="0.2">
      <c r="C39" s="29"/>
      <c r="D39" s="323"/>
    </row>
    <row r="40" spans="3:4" x14ac:dyDescent="0.2">
      <c r="C40" s="29"/>
      <c r="D40" s="29"/>
    </row>
    <row r="41" spans="3:4" x14ac:dyDescent="0.2">
      <c r="C41" s="29"/>
      <c r="D41" s="29"/>
    </row>
    <row r="42" spans="3:4" x14ac:dyDescent="0.2">
      <c r="C42" s="29"/>
      <c r="D42" s="29"/>
    </row>
    <row r="43" spans="3:4" x14ac:dyDescent="0.2">
      <c r="C43" s="29"/>
      <c r="D43" s="29"/>
    </row>
    <row r="44" spans="3:4" x14ac:dyDescent="0.2">
      <c r="C44" s="29"/>
      <c r="D44" s="29"/>
    </row>
    <row r="45" spans="3:4" x14ac:dyDescent="0.2">
      <c r="C45" s="29"/>
      <c r="D45" s="29"/>
    </row>
    <row r="46" spans="3:4" x14ac:dyDescent="0.2">
      <c r="C46" s="29"/>
      <c r="D46" s="29"/>
    </row>
    <row r="47" spans="3:4" x14ac:dyDescent="0.2">
      <c r="C47" s="29"/>
      <c r="D47" s="29"/>
    </row>
    <row r="48" spans="3:4" x14ac:dyDescent="0.2">
      <c r="C48" s="29"/>
      <c r="D48" s="29"/>
    </row>
    <row r="49" spans="3:4" ht="12" customHeight="1" x14ac:dyDescent="0.2">
      <c r="C49" s="29"/>
      <c r="D49" s="29"/>
    </row>
    <row r="50" spans="3:4" x14ac:dyDescent="0.2">
      <c r="C50" s="29"/>
      <c r="D50" s="29"/>
    </row>
    <row r="51" spans="3:4" x14ac:dyDescent="0.2">
      <c r="C51" s="29"/>
      <c r="D51" s="29"/>
    </row>
    <row r="52" spans="3:4" x14ac:dyDescent="0.2">
      <c r="C52" s="29"/>
      <c r="D52" s="29"/>
    </row>
    <row r="53" spans="3:4" ht="12.75" customHeight="1" x14ac:dyDescent="0.2">
      <c r="C53" s="29"/>
      <c r="D53" s="29"/>
    </row>
    <row r="54" spans="3:4" x14ac:dyDescent="0.2">
      <c r="C54" s="29"/>
      <c r="D54" s="29"/>
    </row>
    <row r="55" spans="3:4" x14ac:dyDescent="0.2">
      <c r="C55" s="29"/>
      <c r="D55" s="29"/>
    </row>
    <row r="56" spans="3:4" x14ac:dyDescent="0.2">
      <c r="C56" s="29"/>
      <c r="D56" s="29"/>
    </row>
    <row r="57" spans="3:4" x14ac:dyDescent="0.2">
      <c r="C57" s="29"/>
      <c r="D57" s="29"/>
    </row>
    <row r="58" spans="3:4" ht="9.75" customHeight="1" x14ac:dyDescent="0.2">
      <c r="C58" s="29"/>
      <c r="D58" s="29"/>
    </row>
    <row r="59" spans="3:4" x14ac:dyDescent="0.2">
      <c r="C59" s="29"/>
      <c r="D59" s="29"/>
    </row>
    <row r="60" spans="3:4" x14ac:dyDescent="0.2">
      <c r="C60" s="29"/>
      <c r="D60" s="29"/>
    </row>
    <row r="61" spans="3:4" x14ac:dyDescent="0.2">
      <c r="C61" s="29"/>
      <c r="D61" s="29"/>
    </row>
    <row r="62" spans="3:4" ht="9" customHeight="1" x14ac:dyDescent="0.2">
      <c r="C62" s="29"/>
      <c r="D62" s="29"/>
    </row>
    <row r="63" spans="3:4" x14ac:dyDescent="0.2">
      <c r="C63" s="29"/>
      <c r="D63" s="29"/>
    </row>
    <row r="64" spans="3:4" x14ac:dyDescent="0.2">
      <c r="C64" s="29"/>
      <c r="D64" s="29"/>
    </row>
    <row r="65" spans="3:4" x14ac:dyDescent="0.2">
      <c r="C65" s="29"/>
      <c r="D65" s="29"/>
    </row>
    <row r="66" spans="3:4" x14ac:dyDescent="0.2">
      <c r="C66" s="29"/>
      <c r="D66" s="29"/>
    </row>
  </sheetData>
  <mergeCells count="5">
    <mergeCell ref="M10:P10"/>
    <mergeCell ref="F2:I2"/>
    <mergeCell ref="I10:L10"/>
    <mergeCell ref="E10:H10"/>
    <mergeCell ref="E8:P8"/>
  </mergeCells>
  <pageMargins left="0.7" right="0.7" top="0.75" bottom="0.75" header="0.3" footer="0.3"/>
  <pageSetup scale="42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5529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1</xdr:col>
                <xdr:colOff>457200</xdr:colOff>
                <xdr:row>3</xdr:row>
                <xdr:rowOff>95250</xdr:rowOff>
              </to>
            </anchor>
          </objectPr>
        </oleObject>
      </mc:Choice>
      <mc:Fallback>
        <oleObject progId="MSPhotoEd.3" shapeId="55297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L53"/>
  <sheetViews>
    <sheetView zoomScaleNormal="100" workbookViewId="0">
      <selection activeCell="M3" sqref="M3"/>
    </sheetView>
  </sheetViews>
  <sheetFormatPr defaultRowHeight="12.75" x14ac:dyDescent="0.2"/>
  <cols>
    <col min="1" max="2" width="9.140625" style="29"/>
    <col min="3" max="3" width="30" style="29" customWidth="1"/>
    <col min="4" max="4" width="16.5703125" style="29" customWidth="1"/>
    <col min="5" max="5" width="21.28515625" style="29" customWidth="1"/>
    <col min="6" max="6" width="21" style="29" customWidth="1"/>
    <col min="7" max="7" width="21.5703125" style="29" customWidth="1"/>
    <col min="8" max="8" width="20.42578125" style="29" customWidth="1"/>
    <col min="9" max="9" width="21.28515625" style="29" customWidth="1"/>
    <col min="10" max="10" width="19.42578125" style="29" customWidth="1"/>
    <col min="11" max="16384" width="9.140625" style="29"/>
  </cols>
  <sheetData>
    <row r="2" spans="2:12" ht="15" customHeight="1" x14ac:dyDescent="0.2">
      <c r="G2" s="586" t="s">
        <v>349</v>
      </c>
      <c r="H2" s="586"/>
      <c r="I2" s="586"/>
      <c r="J2" s="586"/>
    </row>
    <row r="6" spans="2:12" ht="23.25" x14ac:dyDescent="0.35">
      <c r="B6" s="551" t="s">
        <v>286</v>
      </c>
      <c r="C6" s="634" t="s">
        <v>347</v>
      </c>
      <c r="D6" s="634"/>
      <c r="E6" s="634"/>
      <c r="F6" s="634"/>
      <c r="G6" s="634"/>
      <c r="H6" s="634"/>
      <c r="I6" s="634"/>
      <c r="J6" s="634"/>
    </row>
    <row r="7" spans="2:12" ht="15" x14ac:dyDescent="0.25">
      <c r="B7" s="49"/>
      <c r="C7" s="552"/>
      <c r="D7" s="553"/>
      <c r="E7" s="553"/>
      <c r="F7" s="553"/>
      <c r="G7" s="553"/>
      <c r="H7" s="553"/>
      <c r="I7" s="553"/>
      <c r="J7" s="553"/>
    </row>
    <row r="8" spans="2:12" ht="15" x14ac:dyDescent="0.25">
      <c r="B8" s="49"/>
      <c r="C8" s="554" t="s">
        <v>261</v>
      </c>
      <c r="D8" s="368" t="s">
        <v>0</v>
      </c>
      <c r="E8" s="368" t="s">
        <v>0</v>
      </c>
      <c r="F8" s="368"/>
      <c r="G8" s="368"/>
      <c r="H8" s="368"/>
      <c r="I8" s="368"/>
      <c r="J8" s="359"/>
    </row>
    <row r="9" spans="2:12" ht="15" x14ac:dyDescent="0.25">
      <c r="B9" s="49"/>
      <c r="C9" s="555" t="s">
        <v>262</v>
      </c>
      <c r="D9" s="556" t="s">
        <v>154</v>
      </c>
      <c r="E9" s="556" t="s">
        <v>155</v>
      </c>
      <c r="F9" s="556" t="s">
        <v>156</v>
      </c>
      <c r="G9" s="556" t="s">
        <v>157</v>
      </c>
      <c r="H9" s="556" t="s">
        <v>158</v>
      </c>
      <c r="I9" s="556" t="s">
        <v>18</v>
      </c>
      <c r="J9" s="555" t="s">
        <v>24</v>
      </c>
    </row>
    <row r="10" spans="2:12" ht="15" x14ac:dyDescent="0.2">
      <c r="B10" s="49"/>
      <c r="C10" s="557" t="s">
        <v>264</v>
      </c>
      <c r="D10" s="558">
        <v>4062</v>
      </c>
      <c r="E10" s="558">
        <v>2421</v>
      </c>
      <c r="F10" s="558">
        <v>484</v>
      </c>
      <c r="G10" s="558">
        <v>402</v>
      </c>
      <c r="H10" s="558">
        <v>443</v>
      </c>
      <c r="I10" s="558">
        <v>986</v>
      </c>
      <c r="J10" s="559">
        <f>SUM(D10:I10)</f>
        <v>8798</v>
      </c>
      <c r="K10" s="49"/>
      <c r="L10" s="49"/>
    </row>
    <row r="11" spans="2:12" ht="15" x14ac:dyDescent="0.2">
      <c r="B11" s="49"/>
      <c r="C11" s="557" t="s">
        <v>265</v>
      </c>
      <c r="D11" s="558">
        <v>2116</v>
      </c>
      <c r="E11" s="558">
        <v>1233</v>
      </c>
      <c r="F11" s="558">
        <v>402</v>
      </c>
      <c r="G11" s="558">
        <v>139</v>
      </c>
      <c r="H11" s="558">
        <v>300</v>
      </c>
      <c r="I11" s="558">
        <v>325</v>
      </c>
      <c r="J11" s="559">
        <f>SUM(D11:I11)</f>
        <v>4515</v>
      </c>
      <c r="K11" s="49"/>
      <c r="L11" s="49"/>
    </row>
    <row r="12" spans="2:12" ht="15" x14ac:dyDescent="0.2">
      <c r="B12" s="49"/>
      <c r="C12" s="557" t="s">
        <v>266</v>
      </c>
      <c r="D12" s="558">
        <v>1599</v>
      </c>
      <c r="E12" s="558">
        <v>318</v>
      </c>
      <c r="F12" s="558">
        <v>376</v>
      </c>
      <c r="G12" s="558">
        <v>108</v>
      </c>
      <c r="H12" s="558">
        <v>221</v>
      </c>
      <c r="I12" s="558">
        <v>292</v>
      </c>
      <c r="J12" s="559">
        <f>SUM(D12:I12)</f>
        <v>2914</v>
      </c>
      <c r="K12" s="49"/>
      <c r="L12" s="49"/>
    </row>
    <row r="13" spans="2:12" x14ac:dyDescent="0.2">
      <c r="B13" s="49"/>
      <c r="C13" s="557" t="s">
        <v>267</v>
      </c>
      <c r="D13" s="558">
        <v>1659</v>
      </c>
      <c r="E13" s="560" t="s">
        <v>354</v>
      </c>
      <c r="F13" s="560" t="s">
        <v>354</v>
      </c>
      <c r="G13" s="560" t="s">
        <v>354</v>
      </c>
      <c r="H13" s="560" t="s">
        <v>354</v>
      </c>
      <c r="I13" s="560" t="s">
        <v>354</v>
      </c>
      <c r="J13" s="560">
        <v>1659</v>
      </c>
      <c r="K13" s="49"/>
      <c r="L13" s="49"/>
    </row>
    <row r="14" spans="2:12" ht="15" x14ac:dyDescent="0.2">
      <c r="B14" s="49"/>
      <c r="C14" s="557" t="s">
        <v>268</v>
      </c>
      <c r="D14" s="558">
        <v>1691</v>
      </c>
      <c r="E14" s="558">
        <v>525</v>
      </c>
      <c r="F14" s="558">
        <v>424</v>
      </c>
      <c r="G14" s="558">
        <v>860</v>
      </c>
      <c r="H14" s="558">
        <v>283</v>
      </c>
      <c r="I14" s="561">
        <v>411</v>
      </c>
      <c r="J14" s="559">
        <f>SUM(D14:I14)</f>
        <v>4194</v>
      </c>
      <c r="K14" s="49"/>
      <c r="L14" s="49"/>
    </row>
    <row r="15" spans="2:12" ht="15" x14ac:dyDescent="0.2">
      <c r="B15" s="49"/>
      <c r="C15" s="557" t="s">
        <v>269</v>
      </c>
      <c r="D15" s="558">
        <v>2394</v>
      </c>
      <c r="E15" s="558">
        <v>881</v>
      </c>
      <c r="F15" s="558">
        <v>384</v>
      </c>
      <c r="G15" s="558">
        <v>308</v>
      </c>
      <c r="H15" s="558">
        <v>611</v>
      </c>
      <c r="I15" s="558">
        <v>335</v>
      </c>
      <c r="J15" s="559">
        <f>SUM(D15:I15)</f>
        <v>4913</v>
      </c>
      <c r="K15" s="49"/>
      <c r="L15" s="49"/>
    </row>
    <row r="16" spans="2:12" ht="15" x14ac:dyDescent="0.2">
      <c r="B16" s="49"/>
      <c r="C16" s="557" t="s">
        <v>270</v>
      </c>
      <c r="D16" s="558">
        <v>1193</v>
      </c>
      <c r="E16" s="558">
        <v>269</v>
      </c>
      <c r="F16" s="558">
        <v>372</v>
      </c>
      <c r="G16" s="558">
        <v>548</v>
      </c>
      <c r="H16" s="558">
        <v>505</v>
      </c>
      <c r="I16" s="558">
        <v>283</v>
      </c>
      <c r="J16" s="559">
        <f>SUM(D16:I16)</f>
        <v>3170</v>
      </c>
      <c r="K16" s="49"/>
      <c r="L16" s="49"/>
    </row>
    <row r="17" spans="2:12" ht="15" x14ac:dyDescent="0.2">
      <c r="B17" s="49"/>
      <c r="C17" s="557" t="s">
        <v>271</v>
      </c>
      <c r="D17" s="558">
        <v>761</v>
      </c>
      <c r="E17" s="558">
        <v>172</v>
      </c>
      <c r="F17" s="558">
        <v>328</v>
      </c>
      <c r="G17" s="558">
        <v>190</v>
      </c>
      <c r="H17" s="558">
        <v>318</v>
      </c>
      <c r="I17" s="558">
        <v>196</v>
      </c>
      <c r="J17" s="559">
        <f>SUM(D17:I17)</f>
        <v>1965</v>
      </c>
      <c r="K17" s="49"/>
      <c r="L17" s="49"/>
    </row>
    <row r="18" spans="2:12" ht="15" x14ac:dyDescent="0.2">
      <c r="B18" s="49"/>
      <c r="C18" s="557" t="s">
        <v>355</v>
      </c>
      <c r="D18" s="558">
        <v>224</v>
      </c>
      <c r="E18" s="562" t="s">
        <v>356</v>
      </c>
      <c r="F18" s="562" t="s">
        <v>356</v>
      </c>
      <c r="G18" s="562" t="s">
        <v>356</v>
      </c>
      <c r="H18" s="562" t="s">
        <v>356</v>
      </c>
      <c r="I18" s="562" t="s">
        <v>356</v>
      </c>
      <c r="J18" s="559">
        <v>224</v>
      </c>
      <c r="K18" s="49"/>
      <c r="L18" s="49"/>
    </row>
    <row r="19" spans="2:12" ht="15" x14ac:dyDescent="0.25">
      <c r="B19" s="49"/>
      <c r="C19" s="563" t="s">
        <v>272</v>
      </c>
      <c r="D19" s="635"/>
      <c r="E19" s="636"/>
      <c r="F19" s="636"/>
      <c r="G19" s="636"/>
      <c r="H19" s="636"/>
      <c r="I19" s="636"/>
      <c r="J19" s="637"/>
      <c r="K19" s="49"/>
      <c r="L19" s="49"/>
    </row>
    <row r="20" spans="2:12" ht="15" x14ac:dyDescent="0.25">
      <c r="B20" s="49"/>
      <c r="C20" s="557" t="s">
        <v>264</v>
      </c>
      <c r="D20" s="564">
        <v>800</v>
      </c>
      <c r="E20" s="564">
        <v>145</v>
      </c>
      <c r="F20" s="564">
        <v>118</v>
      </c>
      <c r="G20" s="564">
        <v>36</v>
      </c>
      <c r="H20" s="564">
        <v>53</v>
      </c>
      <c r="I20" s="564">
        <v>88</v>
      </c>
      <c r="J20" s="565">
        <f>SUM(D20:I20)</f>
        <v>1240</v>
      </c>
      <c r="K20" s="49"/>
      <c r="L20" s="49"/>
    </row>
    <row r="21" spans="2:12" ht="15" x14ac:dyDescent="0.25">
      <c r="B21" s="49"/>
      <c r="C21" s="557" t="s">
        <v>265</v>
      </c>
      <c r="D21" s="564">
        <v>622</v>
      </c>
      <c r="E21" s="564">
        <v>72</v>
      </c>
      <c r="F21" s="564">
        <v>59</v>
      </c>
      <c r="G21" s="564">
        <v>24</v>
      </c>
      <c r="H21" s="564">
        <v>52</v>
      </c>
      <c r="I21" s="566">
        <v>166</v>
      </c>
      <c r="J21" s="565">
        <f>SUM(D21:I21)</f>
        <v>995</v>
      </c>
      <c r="K21" s="49"/>
      <c r="L21" s="49"/>
    </row>
    <row r="22" spans="2:12" ht="15" x14ac:dyDescent="0.25">
      <c r="B22" s="49"/>
      <c r="C22" s="557" t="s">
        <v>266</v>
      </c>
      <c r="D22" s="564">
        <v>384</v>
      </c>
      <c r="E22" s="564">
        <v>165</v>
      </c>
      <c r="F22" s="564">
        <v>55</v>
      </c>
      <c r="G22" s="564">
        <v>19</v>
      </c>
      <c r="H22" s="564">
        <v>38</v>
      </c>
      <c r="I22" s="564">
        <v>66</v>
      </c>
      <c r="J22" s="565">
        <f>SUM(D22:I22)</f>
        <v>727</v>
      </c>
      <c r="K22" s="49"/>
      <c r="L22" s="49"/>
    </row>
    <row r="23" spans="2:12" ht="15" x14ac:dyDescent="0.25">
      <c r="B23" s="49"/>
      <c r="C23" s="557" t="s">
        <v>267</v>
      </c>
      <c r="D23" s="564">
        <v>192</v>
      </c>
      <c r="E23" s="564">
        <v>87</v>
      </c>
      <c r="F23" s="564">
        <v>54</v>
      </c>
      <c r="G23" s="564">
        <v>1</v>
      </c>
      <c r="H23" s="564">
        <v>29</v>
      </c>
      <c r="I23" s="564">
        <v>59</v>
      </c>
      <c r="J23" s="565">
        <f>SUM(D23:I23)</f>
        <v>422</v>
      </c>
      <c r="K23" s="49"/>
      <c r="L23" s="49"/>
    </row>
    <row r="24" spans="2:12" ht="15.75" x14ac:dyDescent="0.25">
      <c r="B24" s="49"/>
      <c r="C24" s="567" t="s">
        <v>321</v>
      </c>
      <c r="D24" s="568">
        <f>SUM(D10:D18,D20:D23)</f>
        <v>17697</v>
      </c>
      <c r="E24" s="568">
        <f>SUM(E10:E12,E14:E17,E20:E23)</f>
        <v>6288</v>
      </c>
      <c r="F24" s="568">
        <f>SUM(F10:F12,F14:F17,F20:F23)</f>
        <v>3056</v>
      </c>
      <c r="G24" s="568">
        <f>SUM(G10:G12,G14:G17,G20:G23)</f>
        <v>2635</v>
      </c>
      <c r="H24" s="568">
        <f>SUM(H10:H12,H14:H17,H20:H23)</f>
        <v>2853</v>
      </c>
      <c r="I24" s="568">
        <f>SUM(I10:I12,I14:I17,I20:I23)</f>
        <v>3207</v>
      </c>
      <c r="J24" s="569">
        <f>SUM(D24:I24)</f>
        <v>35736</v>
      </c>
      <c r="K24" s="49"/>
      <c r="L24" s="49"/>
    </row>
    <row r="25" spans="2:12" ht="18.75" customHeight="1" x14ac:dyDescent="0.2">
      <c r="C25" s="351"/>
    </row>
    <row r="26" spans="2:12" ht="18.75" customHeight="1" x14ac:dyDescent="0.2">
      <c r="C26" s="351"/>
    </row>
    <row r="27" spans="2:12" ht="23.25" x14ac:dyDescent="0.35">
      <c r="B27" s="551" t="s">
        <v>287</v>
      </c>
      <c r="C27" s="638" t="s">
        <v>348</v>
      </c>
      <c r="D27" s="638"/>
      <c r="E27" s="638"/>
      <c r="F27" s="638"/>
      <c r="G27" s="638"/>
    </row>
    <row r="28" spans="2:12" ht="15" x14ac:dyDescent="0.25">
      <c r="C28" s="639" t="s">
        <v>322</v>
      </c>
      <c r="D28" s="640"/>
      <c r="E28" s="641"/>
      <c r="F28" s="639" t="s">
        <v>323</v>
      </c>
      <c r="G28" s="641"/>
    </row>
    <row r="29" spans="2:12" ht="15" x14ac:dyDescent="0.25">
      <c r="C29" s="570"/>
      <c r="D29" s="642">
        <v>2023</v>
      </c>
      <c r="E29" s="643"/>
      <c r="F29" s="571"/>
      <c r="G29" s="572"/>
    </row>
    <row r="30" spans="2:12" ht="26.25" x14ac:dyDescent="0.25">
      <c r="C30" s="555" t="s">
        <v>250</v>
      </c>
      <c r="D30" s="573" t="s">
        <v>93</v>
      </c>
      <c r="E30" s="573" t="s">
        <v>251</v>
      </c>
      <c r="F30" s="571" t="s">
        <v>253</v>
      </c>
      <c r="G30" s="572">
        <v>6700</v>
      </c>
    </row>
    <row r="31" spans="2:12" ht="25.5" x14ac:dyDescent="0.2">
      <c r="C31" s="557" t="s">
        <v>154</v>
      </c>
      <c r="D31" s="574">
        <v>326</v>
      </c>
      <c r="E31" s="574">
        <v>262</v>
      </c>
      <c r="F31" s="575" t="s">
        <v>254</v>
      </c>
      <c r="G31" s="574" t="s">
        <v>316</v>
      </c>
    </row>
    <row r="32" spans="2:12" ht="25.5" x14ac:dyDescent="0.2">
      <c r="C32" s="557" t="s">
        <v>155</v>
      </c>
      <c r="D32" s="576">
        <v>41</v>
      </c>
      <c r="E32" s="574">
        <v>114</v>
      </c>
      <c r="F32" s="575" t="s">
        <v>255</v>
      </c>
      <c r="G32" s="574">
        <v>8738</v>
      </c>
    </row>
    <row r="33" spans="2:10" ht="25.5" x14ac:dyDescent="0.2">
      <c r="C33" s="557" t="s">
        <v>156</v>
      </c>
      <c r="D33" s="576">
        <v>16</v>
      </c>
      <c r="E33" s="574">
        <v>24</v>
      </c>
      <c r="F33" s="575" t="s">
        <v>256</v>
      </c>
      <c r="G33" s="574" t="s">
        <v>316</v>
      </c>
    </row>
    <row r="34" spans="2:10" ht="25.5" x14ac:dyDescent="0.2">
      <c r="C34" s="557" t="s">
        <v>157</v>
      </c>
      <c r="D34" s="576">
        <v>14</v>
      </c>
      <c r="E34" s="574">
        <v>30</v>
      </c>
      <c r="F34" s="575" t="s">
        <v>257</v>
      </c>
      <c r="G34" s="574" t="s">
        <v>316</v>
      </c>
      <c r="H34" s="351"/>
    </row>
    <row r="35" spans="2:10" ht="25.5" x14ac:dyDescent="0.2">
      <c r="C35" s="557" t="s">
        <v>158</v>
      </c>
      <c r="D35" s="576">
        <v>15</v>
      </c>
      <c r="E35" s="574">
        <v>27</v>
      </c>
      <c r="F35" s="575" t="s">
        <v>258</v>
      </c>
      <c r="G35" s="574" t="s">
        <v>316</v>
      </c>
    </row>
    <row r="36" spans="2:10" ht="25.5" x14ac:dyDescent="0.2">
      <c r="C36" s="557" t="s">
        <v>18</v>
      </c>
      <c r="D36" s="576">
        <v>26</v>
      </c>
      <c r="E36" s="574">
        <v>29</v>
      </c>
      <c r="F36" s="575" t="s">
        <v>259</v>
      </c>
      <c r="G36" s="574" t="s">
        <v>316</v>
      </c>
    </row>
    <row r="37" spans="2:10" ht="15" x14ac:dyDescent="0.25">
      <c r="C37" s="577" t="s">
        <v>24</v>
      </c>
      <c r="D37" s="573">
        <f>SUM(D31:D36)</f>
        <v>438</v>
      </c>
      <c r="E37" s="573">
        <f>SUM(E31:E36)</f>
        <v>486</v>
      </c>
      <c r="F37" s="577" t="s">
        <v>260</v>
      </c>
      <c r="G37" s="573">
        <f>SUM(G30,G32)</f>
        <v>15438</v>
      </c>
      <c r="H37" s="49"/>
    </row>
    <row r="39" spans="2:10" x14ac:dyDescent="0.2">
      <c r="B39" s="49"/>
      <c r="C39" s="351" t="s">
        <v>324</v>
      </c>
    </row>
    <row r="40" spans="2:10" x14ac:dyDescent="0.2">
      <c r="B40" s="49"/>
      <c r="C40" s="351" t="s">
        <v>174</v>
      </c>
    </row>
    <row r="41" spans="2:10" ht="19.5" customHeight="1" x14ac:dyDescent="0.35">
      <c r="C41" s="629" t="s">
        <v>325</v>
      </c>
      <c r="D41" s="630"/>
      <c r="E41" s="630"/>
      <c r="F41" s="630"/>
      <c r="G41" s="630"/>
      <c r="H41" s="578"/>
      <c r="I41" s="578"/>
      <c r="J41" s="578"/>
    </row>
    <row r="42" spans="2:10" ht="15" x14ac:dyDescent="0.25">
      <c r="B42" s="49"/>
      <c r="C42" s="631"/>
      <c r="D42" s="631"/>
      <c r="E42" s="631"/>
      <c r="F42" s="631"/>
      <c r="G42" s="631"/>
      <c r="H42" s="49"/>
    </row>
    <row r="43" spans="2:10" ht="15" x14ac:dyDescent="0.25">
      <c r="B43" s="49"/>
      <c r="C43" s="579"/>
      <c r="D43" s="632"/>
      <c r="E43" s="633"/>
      <c r="F43" s="580"/>
      <c r="G43" s="581"/>
      <c r="H43" s="49"/>
    </row>
    <row r="44" spans="2:10" ht="15" x14ac:dyDescent="0.25">
      <c r="B44" s="49"/>
      <c r="C44" s="582"/>
      <c r="D44" s="583"/>
      <c r="E44" s="583"/>
      <c r="F44" s="580"/>
      <c r="G44" s="581"/>
      <c r="H44" s="49"/>
    </row>
    <row r="45" spans="2:10" x14ac:dyDescent="0.2">
      <c r="B45" s="49"/>
      <c r="C45" s="580"/>
      <c r="D45" s="581"/>
      <c r="E45" s="581"/>
      <c r="F45" s="580"/>
      <c r="G45" s="581"/>
      <c r="H45" s="49"/>
    </row>
    <row r="46" spans="2:10" x14ac:dyDescent="0.2">
      <c r="B46" s="49"/>
      <c r="C46" s="580"/>
      <c r="D46" s="581"/>
      <c r="E46" s="581"/>
      <c r="F46" s="580"/>
      <c r="G46" s="581"/>
      <c r="H46" s="49"/>
    </row>
    <row r="47" spans="2:10" x14ac:dyDescent="0.2">
      <c r="B47" s="49"/>
      <c r="C47" s="580"/>
      <c r="D47" s="581"/>
      <c r="E47" s="581"/>
      <c r="F47" s="580"/>
      <c r="G47" s="581"/>
      <c r="H47" s="49"/>
    </row>
    <row r="48" spans="2:10" x14ac:dyDescent="0.2">
      <c r="B48" s="49"/>
      <c r="C48" s="580"/>
      <c r="D48" s="581"/>
      <c r="E48" s="581"/>
      <c r="F48" s="580"/>
      <c r="G48" s="581"/>
      <c r="H48" s="49"/>
    </row>
    <row r="49" spans="2:8" x14ac:dyDescent="0.2">
      <c r="B49" s="49"/>
      <c r="C49" s="580"/>
      <c r="D49" s="581"/>
      <c r="E49" s="581"/>
      <c r="F49" s="580"/>
      <c r="G49" s="581"/>
      <c r="H49" s="49"/>
    </row>
    <row r="50" spans="2:8" x14ac:dyDescent="0.2">
      <c r="B50" s="49"/>
      <c r="C50" s="580"/>
      <c r="D50" s="581"/>
      <c r="E50" s="581"/>
      <c r="F50" s="580"/>
      <c r="G50" s="581"/>
      <c r="H50" s="49"/>
    </row>
    <row r="51" spans="2:8" ht="15" x14ac:dyDescent="0.25">
      <c r="B51" s="49"/>
      <c r="C51" s="579"/>
      <c r="D51" s="583"/>
      <c r="E51" s="583"/>
      <c r="F51" s="579"/>
      <c r="G51" s="583"/>
      <c r="H51" s="49"/>
    </row>
    <row r="52" spans="2:8" x14ac:dyDescent="0.2">
      <c r="C52" s="49"/>
      <c r="D52" s="49"/>
      <c r="E52" s="49"/>
      <c r="F52" s="49"/>
      <c r="G52" s="49"/>
    </row>
    <row r="53" spans="2:8" x14ac:dyDescent="0.2">
      <c r="B53" s="351"/>
    </row>
  </sheetData>
  <mergeCells count="11">
    <mergeCell ref="C41:G41"/>
    <mergeCell ref="C42:E42"/>
    <mergeCell ref="F42:G42"/>
    <mergeCell ref="D43:E43"/>
    <mergeCell ref="G2:J2"/>
    <mergeCell ref="C6:J6"/>
    <mergeCell ref="D19:J19"/>
    <mergeCell ref="C27:G27"/>
    <mergeCell ref="C28:E28"/>
    <mergeCell ref="F28:G28"/>
    <mergeCell ref="D29:E29"/>
  </mergeCells>
  <pageMargins left="0.7" right="0.7" top="0.75" bottom="0.75" header="0.3" footer="0.3"/>
  <pageSetup scale="62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5632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438150</xdr:colOff>
                <xdr:row>3</xdr:row>
                <xdr:rowOff>76200</xdr:rowOff>
              </to>
            </anchor>
          </objectPr>
        </oleObject>
      </mc:Choice>
      <mc:Fallback>
        <oleObject progId="MSPhotoEd.3" shapeId="5632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</vt:i4>
      </vt:variant>
    </vt:vector>
  </HeadingPairs>
  <TitlesOfParts>
    <vt:vector size="39" baseType="lpstr">
      <vt:lpstr>3.01a</vt:lpstr>
      <vt:lpstr>3.01b</vt:lpstr>
      <vt:lpstr>3.01c</vt:lpstr>
      <vt:lpstr>3.02a</vt:lpstr>
      <vt:lpstr>3.02b</vt:lpstr>
      <vt:lpstr>3.02c</vt:lpstr>
      <vt:lpstr>3.02d</vt:lpstr>
      <vt:lpstr>3.03</vt:lpstr>
      <vt:lpstr>3.04</vt:lpstr>
      <vt:lpstr>.03a</vt:lpstr>
      <vt:lpstr>.03c</vt:lpstr>
      <vt:lpstr>Rec Exp work(.05)</vt:lpstr>
      <vt:lpstr>3.06a</vt:lpstr>
      <vt:lpstr>.04rold</vt:lpstr>
      <vt:lpstr>3.06b</vt:lpstr>
      <vt:lpstr>.05rc</vt:lpstr>
      <vt:lpstr>3.05</vt:lpstr>
      <vt:lpstr>3.06</vt:lpstr>
      <vt:lpstr>3.07</vt:lpstr>
      <vt:lpstr>.08c&amp;d</vt:lpstr>
      <vt:lpstr>3.07a</vt:lpstr>
      <vt:lpstr>3.07b&amp;c</vt:lpstr>
      <vt:lpstr>'.04rold'!Print_Area</vt:lpstr>
      <vt:lpstr>'.05rc'!Print_Area</vt:lpstr>
      <vt:lpstr>'.08c&amp;d'!Print_Area</vt:lpstr>
      <vt:lpstr>'3.01a'!Print_Area</vt:lpstr>
      <vt:lpstr>'3.01b'!Print_Area</vt:lpstr>
      <vt:lpstr>'3.01c'!Print_Area</vt:lpstr>
      <vt:lpstr>'3.02a'!Print_Area</vt:lpstr>
      <vt:lpstr>'3.02b'!Print_Area</vt:lpstr>
      <vt:lpstr>'3.02c'!Print_Area</vt:lpstr>
      <vt:lpstr>'3.03'!Print_Area</vt:lpstr>
      <vt:lpstr>'3.04'!Print_Area</vt:lpstr>
      <vt:lpstr>'3.05'!Print_Area</vt:lpstr>
      <vt:lpstr>'3.06'!Print_Area</vt:lpstr>
      <vt:lpstr>'3.06a'!Print_Area</vt:lpstr>
      <vt:lpstr>'3.06b'!Print_Area</vt:lpstr>
      <vt:lpstr>'3.07'!Print_Area</vt:lpstr>
      <vt:lpstr>'Rec Exp work(.05)'!Print_Area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Education &amp; Culture</dc:subject>
  <dc:creator>Economics &amp; Statistics Office</dc:creator>
  <cp:lastModifiedBy>Ebanks, Narnia</cp:lastModifiedBy>
  <cp:lastPrinted>2023-08-28T19:20:07Z</cp:lastPrinted>
  <dcterms:created xsi:type="dcterms:W3CDTF">2009-04-08T18:56:19Z</dcterms:created>
  <dcterms:modified xsi:type="dcterms:W3CDTF">2024-12-02T21:17:13Z</dcterms:modified>
</cp:coreProperties>
</file>